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/>
  <xr:revisionPtr revIDLastSave="0" documentId="13_ncr:1_{F87A1349-E7DE-4BED-A1C8-55CEA0C48F98}" xr6:coauthVersionLast="45" xr6:coauthVersionMax="45" xr10:uidLastSave="{00000000-0000-0000-0000-000000000000}"/>
  <workbookProtection workbookAlgorithmName="SHA-512" workbookHashValue="f+F/vGpV9eWz4af4lkvQnzSyTGywqEEylR2IQ/THooh/XGv35/psZqtpKpJ5FTCHnKjepBHInxIWvPc2t9vy7w==" workbookSaltValue="DGzL+LDySaM9LvzVEP9CRw==" workbookSpinCount="100000" lockStructure="1"/>
  <bookViews>
    <workbookView xWindow="-108" yWindow="-108" windowWidth="23256" windowHeight="12576" tabRatio="773" xr2:uid="{00000000-000D-0000-FFFF-FFFF00000000}"/>
  </bookViews>
  <sheets>
    <sheet name="Selector" sheetId="3" r:id="rId1"/>
    <sheet name="Reverse Lookup" sheetId="12" r:id="rId2"/>
    <sheet name="Selector working" sheetId="10" state="hidden" r:id="rId3"/>
    <sheet name="Reverse working" sheetId="13" state="hidden" r:id="rId4"/>
  </sheets>
  <definedNames>
    <definedName name="Ekip">'Reverse working'!$A$16:$B$20</definedName>
    <definedName name="Modul12">'Reverse working'!$A$61:$B$89</definedName>
    <definedName name="Modul3">'Reverse working'!$A$90:$B$102</definedName>
    <definedName name="Modul4">'Reverse working'!$A$103:$B$117</definedName>
    <definedName name="_xlnm.Print_Area" localSheetId="1">'Reverse Lookup'!$A$1:$C$32</definedName>
    <definedName name="Rate">'Reverse working'!$A$21:$B$38</definedName>
    <definedName name="Rating">'Selector working'!$A$9:$A$26</definedName>
    <definedName name="Rating1">'Selector working'!$A$9:$B$26</definedName>
    <definedName name="Sen">'Reverse working'!$A$39:$B$58</definedName>
    <definedName name="Sensor">'Selector working'!$A$27:$A$46</definedName>
    <definedName name="Sensor1">'Selector working'!$A$27:$B$46</definedName>
    <definedName name="Slot1">'Selector working'!$A$49:$A$56</definedName>
    <definedName name="Slot12">'Selector working'!$A$49:$A$77</definedName>
    <definedName name="Slot12a">'Selector working'!$A$49:$B$77</definedName>
    <definedName name="Slot1a">'Selector working'!$A$49:$B$56</definedName>
    <definedName name="Slot2">'Selector working'!$A$65:$A$77</definedName>
    <definedName name="Slot2a">'Selector working'!$A$65:$B$77</definedName>
    <definedName name="Slot3">'Selector working'!$A$78:$A$90</definedName>
    <definedName name="Slot3a">'Selector working'!$A$78:$B$90</definedName>
    <definedName name="Slot4">'Selector working'!$A$91:$A$105</definedName>
    <definedName name="Slot4a">'Selector working'!$A$91:$B$105</definedName>
    <definedName name="Sup">'Reverse working'!$A$59:$B$60</definedName>
    <definedName name="Supply">'Selector working'!$A$47:$A$48</definedName>
    <definedName name="Supply1">'Selector working'!$A$47:$B$48</definedName>
    <definedName name="Unit">'Selector working'!$A$4:$A$8</definedName>
    <definedName name="Unit1">'Selector working'!$A$4:$B$8</definedName>
    <definedName name="War">'Reverse working'!$A$118:$B$121</definedName>
    <definedName name="Warranty">'Selector working'!$A$106:$A$109</definedName>
    <definedName name="Warranty1">'Selector working'!$A$106:$B$109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0" l="1"/>
  <c r="F10" i="10"/>
  <c r="F9" i="10"/>
  <c r="D2" i="10" l="1"/>
  <c r="C2" i="13" l="1"/>
  <c r="C3" i="13" s="1"/>
  <c r="C4" i="13" s="1"/>
  <c r="H2" i="10"/>
  <c r="D51" i="10" s="1"/>
  <c r="C5" i="13" l="1"/>
  <c r="C13" i="13" l="1"/>
  <c r="C12" i="13"/>
  <c r="C9" i="13"/>
  <c r="C6" i="13"/>
  <c r="C11" i="13"/>
  <c r="C10" i="13"/>
  <c r="D10" i="13" s="1"/>
  <c r="B7" i="12" s="1"/>
  <c r="C8" i="13"/>
  <c r="C7" i="13"/>
  <c r="D4" i="13"/>
  <c r="B2" i="12" s="1"/>
  <c r="D8" i="13" l="1"/>
  <c r="B5" i="12" s="1"/>
  <c r="D13" i="13"/>
  <c r="B10" i="12" s="1"/>
  <c r="D7" i="13"/>
  <c r="B4" i="12" s="1"/>
  <c r="D9" i="13"/>
  <c r="B6" i="12" s="1"/>
  <c r="D11" i="13"/>
  <c r="B8" i="12" s="1"/>
  <c r="D12" i="13"/>
  <c r="B9" i="12" s="1"/>
  <c r="D6" i="13"/>
  <c r="B3" i="12" s="1"/>
  <c r="F8" i="10"/>
  <c r="F7" i="10" l="1"/>
  <c r="C18" i="3" s="1"/>
  <c r="D16" i="10"/>
  <c r="B16" i="3" s="1"/>
  <c r="I2" i="10" l="1"/>
  <c r="G40" i="10" l="1"/>
  <c r="G39" i="10"/>
  <c r="G41" i="10"/>
  <c r="G36" i="10"/>
  <c r="G38" i="10"/>
  <c r="G37" i="10"/>
  <c r="G35" i="10"/>
  <c r="L2" i="10"/>
  <c r="J2" i="10"/>
  <c r="G2" i="10"/>
  <c r="F2" i="10"/>
  <c r="D34" i="10" s="1"/>
  <c r="E2" i="10"/>
  <c r="F50" i="10" s="1"/>
  <c r="F43" i="10" l="1"/>
  <c r="F42" i="10"/>
  <c r="D17" i="10"/>
  <c r="D44" i="10"/>
  <c r="D47" i="10"/>
  <c r="D45" i="10"/>
  <c r="D46" i="10"/>
  <c r="K2" i="10"/>
  <c r="G50" i="10" s="1"/>
  <c r="D50" i="10" s="1"/>
  <c r="D15" i="10" l="1"/>
  <c r="D14" i="10" s="1"/>
  <c r="D49" i="10"/>
  <c r="D48" i="10"/>
  <c r="D33" i="10"/>
  <c r="G42" i="10"/>
  <c r="D42" i="10" s="1"/>
  <c r="G43" i="10"/>
  <c r="D43" i="10" s="1"/>
  <c r="D31" i="10"/>
  <c r="D18" i="10"/>
  <c r="D19" i="10" s="1"/>
  <c r="D27" i="10"/>
  <c r="D30" i="10"/>
  <c r="D28" i="10"/>
  <c r="D32" i="10"/>
  <c r="D29" i="10"/>
  <c r="F38" i="10"/>
  <c r="D38" i="10" s="1"/>
  <c r="F39" i="10"/>
  <c r="D39" i="10" s="1"/>
  <c r="F40" i="10"/>
  <c r="D40" i="10" s="1"/>
  <c r="F37" i="10"/>
  <c r="D37" i="10" s="1"/>
  <c r="F41" i="10"/>
  <c r="D41" i="10" s="1"/>
  <c r="F36" i="10"/>
  <c r="D36" i="10" s="1"/>
  <c r="F35" i="10"/>
  <c r="D35" i="10" s="1"/>
  <c r="D25" i="10"/>
  <c r="D26" i="10"/>
  <c r="D24" i="10"/>
  <c r="D3" i="10"/>
  <c r="B21" i="3" s="1"/>
  <c r="D23" i="10" l="1"/>
  <c r="B17" i="3"/>
  <c r="D20" i="10"/>
  <c r="C15" i="3"/>
  <c r="B15" i="3" l="1"/>
  <c r="A12" i="3"/>
</calcChain>
</file>

<file path=xl/sharedStrings.xml><?xml version="1.0" encoding="utf-8"?>
<sst xmlns="http://schemas.openxmlformats.org/spreadsheetml/2006/main" count="478" uniqueCount="226">
  <si>
    <t>Selection options</t>
  </si>
  <si>
    <t>Drop-down menu options (see notes below)</t>
  </si>
  <si>
    <t>Unit</t>
  </si>
  <si>
    <t>Enclosed plug &amp; play solution</t>
  </si>
  <si>
    <t>No</t>
  </si>
  <si>
    <t>n/a</t>
  </si>
  <si>
    <t>EkipUP unit type and function</t>
  </si>
  <si>
    <t>EkipUP Monitor (network monitoring only)</t>
  </si>
  <si>
    <t>Rating plug for current window</t>
  </si>
  <si>
    <t>Amps</t>
  </si>
  <si>
    <t>Current sensor range and type</t>
  </si>
  <si>
    <t>Open CS 4P type C 200 4000 A max.</t>
  </si>
  <si>
    <t>Ekip power supply</t>
  </si>
  <si>
    <t>Ekip Supply 24-48Vdc</t>
  </si>
  <si>
    <t>Volts</t>
  </si>
  <si>
    <t>Module options Slot1 and Slot2</t>
  </si>
  <si>
    <t>Ekip com Modbus TCP</t>
  </si>
  <si>
    <t>Module options Slot3</t>
  </si>
  <si>
    <t>Ekip Com Hub</t>
  </si>
  <si>
    <t>Module options Slot4</t>
  </si>
  <si>
    <t>None</t>
  </si>
  <si>
    <t>Warranty extension</t>
  </si>
  <si>
    <t>years</t>
  </si>
  <si>
    <t>Optional external accessories</t>
  </si>
  <si>
    <t>Part number(s) to be ordered extra</t>
  </si>
  <si>
    <t>Quantity</t>
  </si>
  <si>
    <t>PTC1000 external probe</t>
  </si>
  <si>
    <t>Ekip programming cable</t>
  </si>
  <si>
    <t>Ekip 10K Modbus signalling unit</t>
  </si>
  <si>
    <t>Software function type</t>
  </si>
  <si>
    <t>Part number</t>
  </si>
  <si>
    <t>Delivery and lead time</t>
  </si>
  <si>
    <t>Please contact your ABB sales rep for correct lead times</t>
  </si>
  <si>
    <t>Links to supporting resources:</t>
  </si>
  <si>
    <t>Reverse lookup</t>
  </si>
  <si>
    <t>EkipUP technical catalog</t>
  </si>
  <si>
    <t>EkipUP user manual</t>
  </si>
  <si>
    <t>Notes and instructions:</t>
  </si>
  <si>
    <t>1. Please select options from drop-down menus above (grey cells only) based on your requirement</t>
  </si>
  <si>
    <t>2. All other cells are locked. To avoid any errors or confusions, please pick selections going top-down</t>
  </si>
  <si>
    <t xml:space="preserve">3. If the cell description (yellow box) is blocking any of the grey cells, please just click and drag it aside </t>
  </si>
  <si>
    <t xml:space="preserve">4. Part numbers always based on options selected, so please double-check selection prior to ordering </t>
  </si>
  <si>
    <t>6. Customer is responsible for verifying options selected prior to ordering. If in doubt, please ask</t>
  </si>
  <si>
    <r>
      <t xml:space="preserve">7. Please call </t>
    </r>
    <r>
      <rPr>
        <b/>
        <sz val="9"/>
        <color theme="1"/>
        <rFont val="Verdana"/>
        <family val="2"/>
      </rPr>
      <t>1833-703-6700</t>
    </r>
    <r>
      <rPr>
        <sz val="9"/>
        <color theme="1"/>
        <rFont val="Verdana"/>
        <family val="2"/>
      </rPr>
      <t xml:space="preserve"> or email </t>
    </r>
    <r>
      <rPr>
        <b/>
        <sz val="9"/>
        <color rgb="FF0070C0"/>
        <rFont val="Verdana"/>
        <family val="2"/>
      </rPr>
      <t>ep.support@ca.abb.com</t>
    </r>
    <r>
      <rPr>
        <sz val="9"/>
        <color theme="1"/>
        <rFont val="Verdana"/>
        <family val="2"/>
      </rPr>
      <t xml:space="preserve"> for any clarifications </t>
    </r>
  </si>
  <si>
    <r>
      <t xml:space="preserve">8. To print/save this page for your records, please use the normal </t>
    </r>
    <r>
      <rPr>
        <sz val="9"/>
        <color rgb="FFFF0000"/>
        <rFont val="Verdana"/>
        <family val="2"/>
      </rPr>
      <t>File --&gt; Print or Save As</t>
    </r>
    <r>
      <rPr>
        <sz val="9"/>
        <color theme="1"/>
        <rFont val="Verdana"/>
        <family val="2"/>
      </rPr>
      <t xml:space="preserve"> menu</t>
    </r>
  </si>
  <si>
    <t xml:space="preserve">10. ABB reserves the right to make any changes to any product, parts and options without prior notice </t>
  </si>
  <si>
    <t xml:space="preserve">11. ABB shall not be liable for any damages whatsoever, arising from selection/use based on this tool </t>
  </si>
  <si>
    <t>Option definitions</t>
  </si>
  <si>
    <t>Options included (see notes below)</t>
  </si>
  <si>
    <t>Enclosed solution or loose parts</t>
  </si>
  <si>
    <t>Paste/type part number --&gt;</t>
  </si>
  <si>
    <t>Useful weblinks -----&gt;</t>
  </si>
  <si>
    <t>Notes:</t>
  </si>
  <si>
    <t>1. This tool returns options included in a valid part number, but add-on accessories will not be reflected</t>
  </si>
  <si>
    <t>2. Please type/paste valid 15- or 16-digit part number in the grey cell above, no other input is required</t>
  </si>
  <si>
    <t>3. Incorrect/incomplete part numbers may return wrong options or "N/A" in the cells above</t>
  </si>
  <si>
    <t>4. If one or more of the Option cells above show error message "#NA", please contact EP Support</t>
  </si>
  <si>
    <t>5. Alternatively, use the Selector worksheet to recreate a valid part number with the options you need</t>
  </si>
  <si>
    <r>
      <t xml:space="preserve">6. Please check and verify options selected </t>
    </r>
    <r>
      <rPr>
        <b/>
        <sz val="9"/>
        <color theme="1"/>
        <rFont val="Verdana"/>
        <family val="2"/>
      </rPr>
      <t>prior</t>
    </r>
    <r>
      <rPr>
        <sz val="9"/>
        <color theme="1"/>
        <rFont val="Verdana"/>
        <family val="2"/>
      </rPr>
      <t xml:space="preserve"> to ordering. If in doubt, please ask</t>
    </r>
  </si>
  <si>
    <r>
      <t xml:space="preserve">7. To print and/or save this page for your records, please use normal </t>
    </r>
    <r>
      <rPr>
        <sz val="9"/>
        <color rgb="FFFF0000"/>
        <rFont val="Verdana"/>
        <family val="2"/>
      </rPr>
      <t>File --&gt; Print or Save As</t>
    </r>
    <r>
      <rPr>
        <sz val="9"/>
        <color theme="1"/>
        <rFont val="Verdana"/>
        <family val="2"/>
      </rPr>
      <t xml:space="preserve"> menu</t>
    </r>
  </si>
  <si>
    <t>8. ABB reserves the right to make any change(s) to any product, parts and options without prior notice</t>
  </si>
  <si>
    <t>9. ABB shall not be liable for any damages whatsoever arising from selection/use based on this tool</t>
  </si>
  <si>
    <r>
      <t xml:space="preserve">10. Any questions an clarifications, please email </t>
    </r>
    <r>
      <rPr>
        <b/>
        <sz val="9"/>
        <color rgb="FF0070C0"/>
        <rFont val="Verdana"/>
        <family val="2"/>
      </rPr>
      <t>ep.support@ca.abb.com</t>
    </r>
    <r>
      <rPr>
        <sz val="9"/>
        <color theme="1"/>
        <rFont val="Verdana"/>
        <family val="2"/>
      </rPr>
      <t xml:space="preserve"> or call </t>
    </r>
    <r>
      <rPr>
        <b/>
        <sz val="9"/>
        <color theme="1"/>
        <rFont val="Verdana"/>
        <family val="2"/>
      </rPr>
      <t>1833-703-6700</t>
    </r>
  </si>
  <si>
    <t>V</t>
  </si>
  <si>
    <t>L</t>
  </si>
  <si>
    <t>S</t>
  </si>
  <si>
    <t>G</t>
  </si>
  <si>
    <t>D</t>
  </si>
  <si>
    <t>Enclosed</t>
  </si>
  <si>
    <t>UPMX</t>
  </si>
  <si>
    <t>EkipUP Protect (monitoring and circuit protection)</t>
  </si>
  <si>
    <t>UPPX</t>
  </si>
  <si>
    <t>EkipUP Control (monitoring and load management)</t>
  </si>
  <si>
    <t>UPCX</t>
  </si>
  <si>
    <t>EkipUP Protect+ (monitoring and advanced protection)</t>
  </si>
  <si>
    <t>UPPP</t>
  </si>
  <si>
    <t>EkipUP Control+ (monitoring, full protection and load management)</t>
  </si>
  <si>
    <t>UPCP</t>
  </si>
  <si>
    <t>Basic Load Shedding (included in UPPX/PP/CP)</t>
  </si>
  <si>
    <t>0100</t>
  </si>
  <si>
    <t>0200</t>
  </si>
  <si>
    <t>0250</t>
  </si>
  <si>
    <t>0400</t>
  </si>
  <si>
    <t>0600</t>
  </si>
  <si>
    <t>0630</t>
  </si>
  <si>
    <t>0800</t>
  </si>
  <si>
    <t>1000</t>
  </si>
  <si>
    <t>1200</t>
  </si>
  <si>
    <t>1250</t>
  </si>
  <si>
    <t>1600</t>
  </si>
  <si>
    <t>2000</t>
  </si>
  <si>
    <t>2500</t>
  </si>
  <si>
    <t>3200</t>
  </si>
  <si>
    <t>Error messages:</t>
  </si>
  <si>
    <t>3600</t>
  </si>
  <si>
    <t>4000</t>
  </si>
  <si>
    <t>5000</t>
  </si>
  <si>
    <t>6000</t>
  </si>
  <si>
    <t>CS 100-2000 A 3P +copper type A</t>
  </si>
  <si>
    <t>A1</t>
  </si>
  <si>
    <t>CS 100-2000 A 4P +copper type A</t>
  </si>
  <si>
    <t>A2</t>
  </si>
  <si>
    <t>CS 2000-4000 A 3P +copper type A</t>
  </si>
  <si>
    <t>A3</t>
  </si>
  <si>
    <t>CS 2000-4000 A 4P +copper type A</t>
  </si>
  <si>
    <t>A4</t>
  </si>
  <si>
    <t>CS 100-400 A 3P type B</t>
  </si>
  <si>
    <t>B1</t>
  </si>
  <si>
    <t>CS 100-400 A 4P type B</t>
  </si>
  <si>
    <t>B2</t>
  </si>
  <si>
    <t>CS 400-1600 A 3P type B</t>
  </si>
  <si>
    <t>B3</t>
  </si>
  <si>
    <t>CS400-1600 A4P type B</t>
  </si>
  <si>
    <t>B4</t>
  </si>
  <si>
    <t>CS 400-1600 A 3P type B shaped</t>
  </si>
  <si>
    <t>B5</t>
  </si>
  <si>
    <t>CS 400-1600 A 4P type B shaped</t>
  </si>
  <si>
    <t>B6</t>
  </si>
  <si>
    <t>Open CS 3P type C 80 1600 A max.</t>
  </si>
  <si>
    <t>C1</t>
  </si>
  <si>
    <t>Open CS 4P type C 80 1600 A max.</t>
  </si>
  <si>
    <t>C2</t>
  </si>
  <si>
    <t>Open CS 3P type C 100 1600 A max.</t>
  </si>
  <si>
    <t>C9</t>
  </si>
  <si>
    <t>Open CS 4P type C 100 1600 A max.</t>
  </si>
  <si>
    <t>C0</t>
  </si>
  <si>
    <t>Open CS 3P type C 120 4000 A max.</t>
  </si>
  <si>
    <t>C3</t>
  </si>
  <si>
    <t>Open CS 4P type C 120 4000 A max.</t>
  </si>
  <si>
    <t>C4</t>
  </si>
  <si>
    <t>Open CS 3P type C 200 4000 A max.</t>
  </si>
  <si>
    <t>C5</t>
  </si>
  <si>
    <t>C6</t>
  </si>
  <si>
    <t>Open CS 3P type C 290 6000 A max.</t>
  </si>
  <si>
    <t>C7</t>
  </si>
  <si>
    <t>Open CS 4P type C 290 6000 A max.</t>
  </si>
  <si>
    <t>C8</t>
  </si>
  <si>
    <t>Ekip Supply 110-240Vac</t>
  </si>
  <si>
    <t>E</t>
  </si>
  <si>
    <t>X</t>
  </si>
  <si>
    <t>s12</t>
  </si>
  <si>
    <t>Ekip com Modbus RS-485</t>
  </si>
  <si>
    <t>Ekip com Profibus</t>
  </si>
  <si>
    <t>Ekip com Profinet</t>
  </si>
  <si>
    <t>Ekip com DeviceNet™</t>
  </si>
  <si>
    <t>Ekip com EtherNet/IP™</t>
  </si>
  <si>
    <t>Ekip com IEC61850</t>
  </si>
  <si>
    <t>Ekip com Modbus RS-485 + Ekip com Modbus TCP</t>
  </si>
  <si>
    <t>A</t>
  </si>
  <si>
    <t>Ekip com Modbus TCP + Ekip com Profibus</t>
  </si>
  <si>
    <t>B</t>
  </si>
  <si>
    <t>Ekip com Profibus + Ekip com Profinet</t>
  </si>
  <si>
    <t>C</t>
  </si>
  <si>
    <t>Ekip com Profinet + Ekip com EtherNet/IP™</t>
  </si>
  <si>
    <t>Ekip com DeviceNet™ + Ekip com EtherNet/IP™</t>
  </si>
  <si>
    <t>Ekip com EtherNet/IP™ + Ekip com IEC61850</t>
  </si>
  <si>
    <t>F</t>
  </si>
  <si>
    <t>Ekip com Modbus RS-485 + Ekip com Profibus</t>
  </si>
  <si>
    <t>Ekip com Modbus TCP + Ekip com Profinet</t>
  </si>
  <si>
    <t>H</t>
  </si>
  <si>
    <t>Ekip com Profibus + Ekip com DeviceNet™</t>
  </si>
  <si>
    <t>J</t>
  </si>
  <si>
    <t>K</t>
  </si>
  <si>
    <t>Ekip com DeviceNet™ + Ekip com IEC61850</t>
  </si>
  <si>
    <t>Ekip com Modbus RS-485 + Ekip com Profinet</t>
  </si>
  <si>
    <t>M</t>
  </si>
  <si>
    <t>Ekip com Modbus TCP + Ekip com DeviceNet™</t>
  </si>
  <si>
    <t>N</t>
  </si>
  <si>
    <t>Ekip com Profibus + Ekip com EtherNet/IP™</t>
  </si>
  <si>
    <t>P</t>
  </si>
  <si>
    <t>Ekip com Profinet + Ekip com IEC61850</t>
  </si>
  <si>
    <t>Q</t>
  </si>
  <si>
    <t>Ekip com Modbus RS-485 + Ekip com DeviceNet™</t>
  </si>
  <si>
    <t>R</t>
  </si>
  <si>
    <t>Ekip com Modbus TCP + EtherNet/IP™</t>
  </si>
  <si>
    <t>Ekip com Profibus + Ekip com IEC61850</t>
  </si>
  <si>
    <t>T</t>
  </si>
  <si>
    <t>Ekip com Modbus RS-485 + Ekip com EtherNet/IP™</t>
  </si>
  <si>
    <t>U</t>
  </si>
  <si>
    <t>Ekip com Modbus TCP + Ekip com IEC61850</t>
  </si>
  <si>
    <t>Ekip com Modbus RS-485 + Ekip com IEC61850</t>
  </si>
  <si>
    <t>W</t>
  </si>
  <si>
    <t>s3</t>
  </si>
  <si>
    <t>Ekip Com R Modbus RS-485</t>
  </si>
  <si>
    <t>Ekip Com R Modbus TCP</t>
  </si>
  <si>
    <t>Ekip Com R Profibus</t>
  </si>
  <si>
    <t>Ekip Com R Profinet</t>
  </si>
  <si>
    <t>Ekip Com R DeviceNet™</t>
  </si>
  <si>
    <t>Ekip Com R EtherNet/IP™</t>
  </si>
  <si>
    <t>Ekip Com R IEC61850</t>
  </si>
  <si>
    <t xml:space="preserve">Ekip Link </t>
  </si>
  <si>
    <t>Ekip Synchrocheck</t>
  </si>
  <si>
    <t>Ekip Signalling 2K-1</t>
  </si>
  <si>
    <t>Ekip Signalling 3T-1 (3x PTC1000 + 1x 4-20mA)</t>
  </si>
  <si>
    <t>s4</t>
  </si>
  <si>
    <t>Ekip Signalling 2K-2</t>
  </si>
  <si>
    <t>Ekip Signalling 3T-2 (3x PTC1000 + 1x 4-20mA)</t>
  </si>
  <si>
    <t>Warranty extension 2 years</t>
  </si>
  <si>
    <t>Warranty extension 4 years</t>
  </si>
  <si>
    <t>Warranty extension 5 years</t>
  </si>
  <si>
    <t>2</t>
  </si>
  <si>
    <t>3</t>
  </si>
  <si>
    <t>4</t>
  </si>
  <si>
    <t>5</t>
  </si>
  <si>
    <t>6</t>
  </si>
  <si>
    <t>7</t>
  </si>
  <si>
    <t>8</t>
  </si>
  <si>
    <t>Ekip Supply 110-240Vac (check availability)</t>
  </si>
  <si>
    <t>Type1</t>
  </si>
  <si>
    <t>Type4</t>
  </si>
  <si>
    <t>2 years (included with product registration)</t>
  </si>
  <si>
    <t>4 years</t>
  </si>
  <si>
    <t>5 years</t>
  </si>
  <si>
    <t>Power Controller 1SDA074212R1</t>
  </si>
  <si>
    <t>Adaptive Load Shedding 1SDA082921R1</t>
  </si>
  <si>
    <t>IPS - Interface Protection 1SDA082919R1</t>
  </si>
  <si>
    <t>ABB Ability™ Asset Manager</t>
  </si>
  <si>
    <t>ABB Ability™ Energy Manager</t>
  </si>
  <si>
    <t>© ABB 2021</t>
  </si>
  <si>
    <t>5. Error messages may appear on wrong selection, duplication, etc., and will dissappear when corrected</t>
  </si>
  <si>
    <t xml:space="preserve">9. Distributor prices on T&amp;B Access; or please send above part# or printout to your local ABB sales rep </t>
  </si>
  <si>
    <t>Ability™ EAM webpage</t>
  </si>
  <si>
    <t>Return to Selector page</t>
  </si>
  <si>
    <r>
      <t xml:space="preserve">Recommended </t>
    </r>
    <r>
      <rPr>
        <b/>
        <sz val="9"/>
        <color theme="1"/>
        <rFont val="Verdana"/>
        <family val="2"/>
      </rPr>
      <t>online subscription</t>
    </r>
    <r>
      <rPr>
        <sz val="9"/>
        <color theme="1"/>
        <rFont val="Verdana"/>
        <family val="2"/>
      </rPr>
      <t xml:space="preserve"> to EAM cloud for remote access</t>
    </r>
  </si>
  <si>
    <t>upmx1600c6d3dxx</t>
  </si>
  <si>
    <t>Online ROI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</si>
</sst>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u/>
      <sz val="9"/>
      <color theme="10"/>
      <name val="Verdana"/>
      <family val="2"/>
    </font>
    <font>
      <sz val="8"/>
      <name val="Calibri"/>
      <family val="2"/>
      <scheme val="minor"/>
    </font>
    <font>
      <sz val="9"/>
      <color rgb="FFFF0000"/>
      <name val="Verdana"/>
      <family val="2"/>
    </font>
    <font>
      <sz val="9"/>
      <name val="Verdana"/>
      <family val="2"/>
    </font>
    <font>
      <sz val="11"/>
      <color rgb="FFFF0000"/>
      <name val="Calibri"/>
      <family val="2"/>
      <scheme val="minor"/>
    </font>
    <font>
      <b/>
      <sz val="9"/>
      <color rgb="FF0070C0"/>
      <name val="Verdana"/>
      <family val="2"/>
    </font>
    <font>
      <b/>
      <u/>
      <sz val="9"/>
      <color theme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Fo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3" borderId="0" xfId="0" applyFill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4" xfId="0" applyFill="1" applyBorder="1"/>
    <xf numFmtId="0" fontId="0" fillId="3" borderId="5" xfId="0" applyFill="1" applyBorder="1"/>
    <xf numFmtId="0" fontId="3" fillId="0" borderId="0" xfId="3" applyFont="1" applyBorder="1" applyAlignment="1">
      <alignment horizontal="left" vertical="top"/>
    </xf>
    <xf numFmtId="0" fontId="0" fillId="3" borderId="0" xfId="0" applyFont="1" applyFill="1" applyBorder="1"/>
    <xf numFmtId="164" fontId="5" fillId="3" borderId="2" xfId="1" applyFont="1" applyFill="1" applyBorder="1" applyAlignment="1" applyProtection="1">
      <alignment horizontal="left" vertical="top"/>
      <protection locked="0" hidden="1"/>
    </xf>
    <xf numFmtId="164" fontId="5" fillId="3" borderId="2" xfId="1" applyFont="1" applyFill="1" applyBorder="1" applyAlignment="1" applyProtection="1">
      <alignment horizontal="left" vertical="top" wrapText="1"/>
      <protection locked="0" hidden="1"/>
    </xf>
    <xf numFmtId="0" fontId="5" fillId="3" borderId="2" xfId="0" applyFont="1" applyFill="1" applyBorder="1" applyAlignment="1" applyProtection="1">
      <alignment horizontal="left" vertical="top"/>
      <protection locked="0" hidden="1"/>
    </xf>
    <xf numFmtId="0" fontId="5" fillId="3" borderId="2" xfId="0" applyFont="1" applyFill="1" applyBorder="1" applyAlignment="1" applyProtection="1">
      <alignment horizontal="center" vertical="top"/>
      <protection locked="0"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0" fillId="3" borderId="0" xfId="0" applyFill="1" applyBorder="1"/>
    <xf numFmtId="0" fontId="0" fillId="0" borderId="0" xfId="0" applyFill="1" applyBorder="1"/>
    <xf numFmtId="0" fontId="0" fillId="0" borderId="0" xfId="0" applyFill="1"/>
    <xf numFmtId="0" fontId="9" fillId="0" borderId="2" xfId="0" applyFont="1" applyBorder="1" applyAlignment="1" applyProtection="1">
      <alignment horizontal="center" vertical="top"/>
      <protection hidden="1"/>
    </xf>
    <xf numFmtId="0" fontId="9" fillId="3" borderId="2" xfId="0" applyFont="1" applyFill="1" applyBorder="1" applyAlignment="1" applyProtection="1">
      <alignment horizontal="center" vertical="top"/>
      <protection locked="0" hidden="1"/>
    </xf>
    <xf numFmtId="0" fontId="10" fillId="0" borderId="0" xfId="0" applyFont="1"/>
    <xf numFmtId="0" fontId="5" fillId="0" borderId="2" xfId="1" applyNumberFormat="1" applyFont="1" applyFill="1" applyBorder="1" applyAlignment="1" applyProtection="1">
      <alignment horizontal="left" vertical="top"/>
      <protection hidden="1"/>
    </xf>
    <xf numFmtId="0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2" xfId="0" applyFont="1" applyFill="1" applyBorder="1" applyAlignment="1" applyProtection="1">
      <alignment horizontal="center"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2" xfId="0" applyFont="1" applyBorder="1" applyAlignment="1" applyProtection="1">
      <alignment horizontal="left" vertical="top"/>
      <protection hidden="1"/>
    </xf>
    <xf numFmtId="164" fontId="5" fillId="0" borderId="2" xfId="1" applyFont="1" applyBorder="1" applyAlignment="1" applyProtection="1">
      <alignment horizontal="center" vertical="top"/>
      <protection hidden="1"/>
    </xf>
    <xf numFmtId="0" fontId="5" fillId="0" borderId="2" xfId="0" applyFont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3" xfId="0" applyFont="1" applyBorder="1" applyAlignment="1" applyProtection="1">
      <alignment horizontal="left" vertical="top"/>
      <protection hidden="1"/>
    </xf>
    <xf numFmtId="0" fontId="6" fillId="0" borderId="0" xfId="3" applyFont="1" applyAlignment="1" applyProtection="1">
      <alignment horizontal="center"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Protection="1"/>
    <xf numFmtId="0" fontId="10" fillId="0" borderId="0" xfId="0" applyFont="1" applyProtection="1"/>
    <xf numFmtId="49" fontId="0" fillId="0" borderId="0" xfId="0" applyNumberFormat="1" applyProtection="1"/>
    <xf numFmtId="1" fontId="0" fillId="0" borderId="0" xfId="0" quotePrefix="1" applyNumberFormat="1" applyProtection="1"/>
    <xf numFmtId="49" fontId="0" fillId="0" borderId="0" xfId="0" applyNumberFormat="1" applyFill="1" applyProtection="1"/>
    <xf numFmtId="0" fontId="0" fillId="0" borderId="0" xfId="0" applyFill="1" applyProtection="1"/>
    <xf numFmtId="0" fontId="5" fillId="0" borderId="0" xfId="0" applyFont="1" applyAlignment="1" applyProtection="1">
      <alignment horizontal="center" vertical="top"/>
      <protection hidden="1"/>
    </xf>
    <xf numFmtId="0" fontId="5" fillId="0" borderId="2" xfId="0" applyFont="1" applyFill="1" applyBorder="1" applyAlignment="1" applyProtection="1">
      <alignment horizontal="center" vertical="top"/>
      <protection hidden="1"/>
    </xf>
    <xf numFmtId="0" fontId="4" fillId="0" borderId="9" xfId="0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 vertical="top"/>
      <protection hidden="1"/>
    </xf>
    <xf numFmtId="0" fontId="9" fillId="0" borderId="12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6" fillId="0" borderId="0" xfId="3" applyFont="1" applyBorder="1" applyAlignment="1" applyProtection="1">
      <alignment horizontal="center" vertical="top"/>
      <protection hidden="1"/>
    </xf>
    <xf numFmtId="0" fontId="0" fillId="5" borderId="0" xfId="0" applyFill="1"/>
    <xf numFmtId="0" fontId="4" fillId="4" borderId="10" xfId="0" applyFont="1" applyFill="1" applyBorder="1" applyAlignment="1" applyProtection="1">
      <alignment horizontal="center" vertical="top"/>
      <protection hidden="1"/>
    </xf>
    <xf numFmtId="0" fontId="0" fillId="3" borderId="0" xfId="0" applyFill="1" applyBorder="1" applyAlignment="1">
      <alignment horizontal="center" vertical="top"/>
    </xf>
    <xf numFmtId="0" fontId="0" fillId="0" borderId="0" xfId="0" applyNumberFormat="1" applyProtection="1"/>
    <xf numFmtId="0" fontId="12" fillId="0" borderId="0" xfId="3" applyFont="1" applyAlignment="1" applyProtection="1">
      <alignment horizontal="left" vertical="top"/>
      <protection locked="0" hidden="1"/>
    </xf>
    <xf numFmtId="0" fontId="12" fillId="0" borderId="0" xfId="3" applyFont="1" applyAlignment="1" applyProtection="1">
      <alignment vertical="top"/>
      <protection locked="0" hidden="1"/>
    </xf>
    <xf numFmtId="0" fontId="4" fillId="5" borderId="5" xfId="0" applyFont="1" applyFill="1" applyBorder="1" applyAlignment="1" applyProtection="1">
      <alignment horizontal="center" vertical="top"/>
      <protection locked="0" hidden="1"/>
    </xf>
    <xf numFmtId="0" fontId="12" fillId="0" borderId="2" xfId="3" applyFont="1" applyBorder="1" applyAlignment="1" applyProtection="1">
      <alignment horizontal="center" vertical="top"/>
      <protection locked="0" hidden="1"/>
    </xf>
    <xf numFmtId="0" fontId="12" fillId="0" borderId="0" xfId="3" applyFont="1" applyProtection="1">
      <protection locked="0" hidden="1"/>
    </xf>
    <xf numFmtId="0" fontId="12" fillId="0" borderId="0" xfId="3" applyFont="1" applyAlignment="1" applyProtection="1">
      <alignment vertical="top"/>
      <protection hidden="1"/>
    </xf>
    <xf numFmtId="0" fontId="5" fillId="0" borderId="2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</cellXfs>
  <cellStyles count="4">
    <cellStyle name="Comma" xfId="1" builtinId="3"/>
    <cellStyle name="Hyperlink" xfId="3" builtinId="8"/>
    <cellStyle name="Normal" xfId="0" builtinId="0"/>
    <cellStyle name="SilverStyle" xfId="2" xr:uid="{88EFB7B8-07FB-41AC-B002-646FF19635D7}"/>
  </cellStyles>
  <dxfs count="3">
    <dxf>
      <font>
        <color rgb="FFFF0000"/>
      </font>
      <fill>
        <patternFill>
          <bgColor rgb="FFFFFF00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502920</xdr:colOff>
      <xdr:row>25</xdr:row>
      <xdr:rowOff>4537</xdr:rowOff>
    </xdr:from>
    <xdr:to>
      <xdr:col>1</xdr:col>
      <xdr:colOff>3023870</xdr:colOff>
      <xdr:row>32</xdr:row>
      <xdr:rowOff>140057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6A784BF-1DAE-450B-90E9-4B922BB64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3660" y="3624037"/>
          <a:ext cx="2520950" cy="1148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search.abb.com/library/Download.aspx?DocumentID=1SDH002003A1002&amp;LanguageCode=en&amp;DocumentPartId=&amp;Action=Launch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eu.marketplace.ability.abb/en-US/apps/64215/abb-ability-asset-manager" TargetMode="External"/><Relationship Id="rId1" Type="http://schemas.openxmlformats.org/officeDocument/2006/relationships/hyperlink" Target="https://eu.marketplace.ability.abb/en-US/apps/64213/abb-ability-energy-manager" TargetMode="External"/><Relationship Id="rId6" Type="http://schemas.openxmlformats.org/officeDocument/2006/relationships/hyperlink" Target="https://new.abb.com/about/our-businesses/electrification/abb-ability/energy-and-asset-manager" TargetMode="External"/><Relationship Id="rId5" Type="http://schemas.openxmlformats.org/officeDocument/2006/relationships/hyperlink" Target="https://search.abb.com/library/Download.aspx?DocumentID=1SDC001051D0201&amp;LanguageCode=en&amp;DocumentPartId=&amp;Action=Launch" TargetMode="External"/><Relationship Id="rId4" Type="http://schemas.openxmlformats.org/officeDocument/2006/relationships/hyperlink" Target="https://new.abb.com/about/our-businesses/electrification/abb-ability/energy-and-asset-manager/roi-calculator" TargetMode="External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earch.abb.com/library/Download.aspx?DocumentID=1SDC001051D0201&amp;LanguageCode=en&amp;DocumentPartId=&amp;Action=Launch" TargetMode="External"/><Relationship Id="rId2" Type="http://schemas.openxmlformats.org/officeDocument/2006/relationships/hyperlink" Target="https://new.abb.com/about/our-businesses/electrification/abb-ability/energy-and-asset-manager/roi-calculator" TargetMode="External"/><Relationship Id="rId1" Type="http://schemas.openxmlformats.org/officeDocument/2006/relationships/hyperlink" Target="https://search.abb.com/library/Download.aspx?DocumentID=1SDH002003A1002&amp;LanguageCode=en&amp;DocumentPartId=&amp;Action=Launch" TargetMode="Externa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BC0E5-8CC5-4429-9CE8-987D3BF2AFAF}">
  <sheetPr codeName="Sheet1">
    <tabColor rgb="FFFF0000"/>
  </sheetPr>
  <dimension ref="A1:C46"/>
  <sheetViews>
    <sheetView tabSelected="1" workbookViewId="0">
      <selection activeCell="B2" sqref="B2"/>
    </sheetView>
  </sheetViews>
  <sheetFormatPr defaultColWidth="9.21875" defaultRowHeight="11.4" x14ac:dyDescent="0.3"/>
  <cols>
    <col min="1" max="1" width="30.77734375" style="28" bestFit="1" customWidth="1"/>
    <col min="2" max="2" width="49.21875" style="28" customWidth="1"/>
    <col min="3" max="3" width="8.77734375" style="28" bestFit="1" customWidth="1"/>
    <col min="4" max="16384" width="9.21875" style="28"/>
  </cols>
  <sheetData>
    <row r="1" spans="1:3" x14ac:dyDescent="0.3">
      <c r="A1" s="26" t="s">
        <v>0</v>
      </c>
      <c r="B1" s="26" t="s">
        <v>1</v>
      </c>
      <c r="C1" s="26" t="s">
        <v>2</v>
      </c>
    </row>
    <row r="2" spans="1:3" x14ac:dyDescent="0.3">
      <c r="A2" s="29" t="s">
        <v>3</v>
      </c>
      <c r="B2" s="13" t="s">
        <v>4</v>
      </c>
      <c r="C2" s="30" t="s">
        <v>5</v>
      </c>
    </row>
    <row r="3" spans="1:3" x14ac:dyDescent="0.3">
      <c r="A3" s="31" t="s">
        <v>6</v>
      </c>
      <c r="B3" s="14" t="s">
        <v>7</v>
      </c>
      <c r="C3" s="30" t="s">
        <v>5</v>
      </c>
    </row>
    <row r="4" spans="1:3" x14ac:dyDescent="0.3">
      <c r="A4" s="31" t="s">
        <v>8</v>
      </c>
      <c r="B4" s="13">
        <v>1600</v>
      </c>
      <c r="C4" s="30" t="s">
        <v>9</v>
      </c>
    </row>
    <row r="5" spans="1:3" x14ac:dyDescent="0.3">
      <c r="A5" s="31" t="s">
        <v>10</v>
      </c>
      <c r="B5" s="13" t="s">
        <v>11</v>
      </c>
      <c r="C5" s="30" t="s">
        <v>9</v>
      </c>
    </row>
    <row r="6" spans="1:3" x14ac:dyDescent="0.3">
      <c r="A6" s="31" t="s">
        <v>12</v>
      </c>
      <c r="B6" s="13" t="s">
        <v>13</v>
      </c>
      <c r="C6" s="30" t="s">
        <v>14</v>
      </c>
    </row>
    <row r="7" spans="1:3" x14ac:dyDescent="0.3">
      <c r="A7" s="31" t="s">
        <v>15</v>
      </c>
      <c r="B7" s="15" t="s">
        <v>20</v>
      </c>
      <c r="C7" s="17" t="s">
        <v>5</v>
      </c>
    </row>
    <row r="8" spans="1:3" x14ac:dyDescent="0.3">
      <c r="A8" s="31" t="s">
        <v>17</v>
      </c>
      <c r="B8" s="15" t="s">
        <v>18</v>
      </c>
      <c r="C8" s="17" t="s">
        <v>5</v>
      </c>
    </row>
    <row r="9" spans="1:3" x14ac:dyDescent="0.3">
      <c r="A9" s="31" t="s">
        <v>19</v>
      </c>
      <c r="B9" s="15" t="s">
        <v>20</v>
      </c>
      <c r="C9" s="17" t="s">
        <v>5</v>
      </c>
    </row>
    <row r="10" spans="1:3" x14ac:dyDescent="0.3">
      <c r="A10" s="31" t="s">
        <v>21</v>
      </c>
      <c r="B10" s="15" t="s">
        <v>20</v>
      </c>
      <c r="C10" s="17" t="s">
        <v>22</v>
      </c>
    </row>
    <row r="11" spans="1:3" x14ac:dyDescent="0.3">
      <c r="B11" s="42"/>
      <c r="C11" s="42"/>
    </row>
    <row r="12" spans="1:3" ht="11.55" customHeight="1" x14ac:dyDescent="0.3">
      <c r="A12" s="60" t="str">
        <f>'Selector working'!D23</f>
        <v/>
      </c>
      <c r="B12" s="60"/>
      <c r="C12" s="60"/>
    </row>
    <row r="14" spans="1:3" x14ac:dyDescent="0.3">
      <c r="A14" s="26" t="s">
        <v>23</v>
      </c>
      <c r="B14" s="26" t="s">
        <v>24</v>
      </c>
      <c r="C14" s="26" t="s">
        <v>25</v>
      </c>
    </row>
    <row r="15" spans="1:3" x14ac:dyDescent="0.3">
      <c r="A15" s="31" t="s">
        <v>26</v>
      </c>
      <c r="B15" s="21" t="str">
        <f>'Selector working'!D20</f>
        <v>If temp. monitoring required, select Ekip 3T in Slots 3/4</v>
      </c>
      <c r="C15" s="43">
        <f>'Selector working'!D19</f>
        <v>0</v>
      </c>
    </row>
    <row r="16" spans="1:3" x14ac:dyDescent="0.3">
      <c r="A16" s="31" t="s">
        <v>27</v>
      </c>
      <c r="B16" s="21" t="str">
        <f>'Selector working'!D16</f>
        <v>1SDA076154R1</v>
      </c>
      <c r="C16" s="16">
        <v>1</v>
      </c>
    </row>
    <row r="17" spans="1:3" x14ac:dyDescent="0.3">
      <c r="A17" s="31" t="s">
        <v>28</v>
      </c>
      <c r="B17" s="17" t="str">
        <f>'Selector working'!D14</f>
        <v/>
      </c>
      <c r="C17" s="16">
        <v>0</v>
      </c>
    </row>
    <row r="18" spans="1:3" x14ac:dyDescent="0.3">
      <c r="A18" s="31" t="s">
        <v>29</v>
      </c>
      <c r="B18" s="22" t="s">
        <v>20</v>
      </c>
      <c r="C18" s="43">
        <f>'Selector working'!F7</f>
        <v>0</v>
      </c>
    </row>
    <row r="21" spans="1:3" x14ac:dyDescent="0.3">
      <c r="A21" s="44" t="s">
        <v>30</v>
      </c>
      <c r="B21" s="50" t="str">
        <f>'Selector working'!D3</f>
        <v>UPMX1600C6DXDXX</v>
      </c>
      <c r="C21" s="32"/>
    </row>
    <row r="22" spans="1:3" x14ac:dyDescent="0.3">
      <c r="A22" s="45" t="s">
        <v>31</v>
      </c>
      <c r="B22" s="46" t="s">
        <v>32</v>
      </c>
    </row>
    <row r="23" spans="1:3" x14ac:dyDescent="0.3">
      <c r="A23" s="59" t="s">
        <v>223</v>
      </c>
      <c r="B23" s="56" t="s">
        <v>217</v>
      </c>
      <c r="C23" s="34"/>
    </row>
    <row r="24" spans="1:3" x14ac:dyDescent="0.3">
      <c r="A24" s="59"/>
      <c r="B24" s="56" t="s">
        <v>216</v>
      </c>
      <c r="C24" s="34"/>
    </row>
    <row r="25" spans="1:3" x14ac:dyDescent="0.3">
      <c r="A25" s="47"/>
      <c r="B25" s="48"/>
      <c r="C25" s="34"/>
    </row>
    <row r="27" spans="1:3" x14ac:dyDescent="0.3">
      <c r="A27" s="35" t="s">
        <v>33</v>
      </c>
    </row>
    <row r="28" spans="1:3" x14ac:dyDescent="0.3">
      <c r="A28" s="53" t="s">
        <v>34</v>
      </c>
    </row>
    <row r="29" spans="1:3" x14ac:dyDescent="0.3">
      <c r="A29" s="53" t="s">
        <v>225</v>
      </c>
    </row>
    <row r="30" spans="1:3" x14ac:dyDescent="0.2">
      <c r="A30" s="57" t="s">
        <v>35</v>
      </c>
    </row>
    <row r="31" spans="1:3" x14ac:dyDescent="0.3">
      <c r="A31" s="54" t="s">
        <v>36</v>
      </c>
    </row>
    <row r="32" spans="1:3" x14ac:dyDescent="0.3">
      <c r="A32" s="58" t="s">
        <v>221</v>
      </c>
    </row>
    <row r="34" spans="1:1" x14ac:dyDescent="0.3">
      <c r="A34" s="35" t="s">
        <v>37</v>
      </c>
    </row>
    <row r="35" spans="1:1" x14ac:dyDescent="0.3">
      <c r="A35" s="28" t="s">
        <v>38</v>
      </c>
    </row>
    <row r="36" spans="1:1" x14ac:dyDescent="0.3">
      <c r="A36" s="28" t="s">
        <v>39</v>
      </c>
    </row>
    <row r="37" spans="1:1" x14ac:dyDescent="0.3">
      <c r="A37" s="28" t="s">
        <v>40</v>
      </c>
    </row>
    <row r="38" spans="1:1" x14ac:dyDescent="0.3">
      <c r="A38" s="28" t="s">
        <v>41</v>
      </c>
    </row>
    <row r="39" spans="1:1" x14ac:dyDescent="0.3">
      <c r="A39" s="28" t="s">
        <v>219</v>
      </c>
    </row>
    <row r="40" spans="1:1" x14ac:dyDescent="0.3">
      <c r="A40" s="28" t="s">
        <v>42</v>
      </c>
    </row>
    <row r="41" spans="1:1" x14ac:dyDescent="0.3">
      <c r="A41" s="28" t="s">
        <v>43</v>
      </c>
    </row>
    <row r="42" spans="1:1" x14ac:dyDescent="0.3">
      <c r="A42" s="28" t="s">
        <v>44</v>
      </c>
    </row>
    <row r="43" spans="1:1" x14ac:dyDescent="0.3">
      <c r="A43" s="28" t="s">
        <v>220</v>
      </c>
    </row>
    <row r="44" spans="1:1" x14ac:dyDescent="0.3">
      <c r="A44" s="28" t="s">
        <v>45</v>
      </c>
    </row>
    <row r="45" spans="1:1" x14ac:dyDescent="0.3">
      <c r="A45" s="28" t="s">
        <v>46</v>
      </c>
    </row>
    <row r="46" spans="1:1" x14ac:dyDescent="0.3">
      <c r="A46" s="28" t="s">
        <v>218</v>
      </c>
    </row>
  </sheetData>
  <sheetProtection algorithmName="SHA-512" hashValue="n3UUBToumM2+XnTelHlek68VwnOdRzg3msy2dnX8QAL4+SPA7N50NcRujCn4M4lbj6uKGZqbHlLEQwReij8c/A==" saltValue="kt6IqQ0DcSbZUTe3b1s4GA==" spinCount="100000" sheet="1" objects="1" scenarios="1" selectLockedCells="1"/>
  <mergeCells count="2">
    <mergeCell ref="A23:A24"/>
    <mergeCell ref="A12:C12"/>
  </mergeCells>
  <phoneticPr fontId="7" type="noConversion"/>
  <conditionalFormatting sqref="B17">
    <cfRule type="containsText" dxfId="2" priority="2" operator="containsText" text="Error">
      <formula>NOT(ISERROR(SEARCH("Error",B17)))</formula>
    </cfRule>
    <cfRule type="cellIs" dxfId="1" priority="5" operator="equal">
      <formula>"Error: select Ekip Com Modbus TCP in slots 1/2, 3 or 4 above"</formula>
    </cfRule>
  </conditionalFormatting>
  <conditionalFormatting sqref="A12">
    <cfRule type="containsText" dxfId="0" priority="1" operator="containsText" text="Error">
      <formula>NOT(ISERROR(SEARCH("Error",A12)))</formula>
    </cfRule>
  </conditionalFormatting>
  <dataValidations xWindow="911" yWindow="371" count="14">
    <dataValidation type="list" allowBlank="1" showInputMessage="1" showErrorMessage="1" errorTitle="Selection error" error="Please just select either Yes or No from the drop-down menu." promptTitle="Configuration" prompt="Enclosed version is a self contained, wall mountable unit assembled, wired and tested in ABB whereas non-enclosed version means selected parts are supplied loose and EkipUP needs to be DIN- or door-mounted and wired into existing panel setup." sqref="B2" xr:uid="{8E856A60-689F-493C-8EA6-776B3A96120E}">
      <formula1>"No,Nema Type1,Nema Type4"</formula1>
    </dataValidation>
    <dataValidation type="list" allowBlank="1" showInputMessage="1" showErrorMessage="1" errorTitle="Selection error" error="Please select an option from the drop-down menu only." promptTitle="Extended warranty" prompt="Standard ABB warranty (Orgalime) is 12 months from commissioning or 18 months from invoice, whichever is earlier. Choose extended warranty duration over and above standard warranty if/as required." sqref="B10" xr:uid="{2BE1E0FA-3904-4AAC-B775-285297FDCE3D}">
      <formula1>Warranty</formula1>
    </dataValidation>
    <dataValidation type="list" allowBlank="1" showInputMessage="1" showErrorMessage="1" errorTitle="Selection error" error="Please select an option from the drop-down menu only." promptTitle="Slot3" prompt="Select module for Slot3 only if  slots 1 and 2 are filled_x000a_Note: modules may not be duplicated, hence redundant versions may be listed as options for Slot3 if applicable; eg., Ekip Com R Modbus TCP" sqref="B8" xr:uid="{A7511FE8-9250-4466-BF63-E091B6BB6D87}">
      <formula1>Slot3</formula1>
    </dataValidation>
    <dataValidation type="list" allowBlank="1" showInputMessage="1" showErrorMessage="1" errorTitle="Selection error" error="Please select an option from the drop-down menu only." promptTitle="Slot4" prompt="Select module for Slot4 only if slots 1, 2 and 3 are filled  _x000a_Note: module duplication not allowed, so please review selection in previous slots or consult with ABB." sqref="B9" xr:uid="{68174679-D387-40ED-9445-C013C955866B}">
      <formula1>Slot4</formula1>
    </dataValidation>
    <dataValidation type="list" allowBlank="1" showInputMessage="1" showErrorMessage="1" errorTitle="Selection error" error="Please select an option from the drop-down menu only." promptTitle="EkipUP unit selection" prompt="Select based on whether your application requires network monitoring and measurement, basic/advanced circuit protection and/or load management/control functions. Click relevant links below to review measurement values as well as protection functions." sqref="B3" xr:uid="{FF13F332-915C-4D2C-8A53-E83CC80FE172}">
      <formula1>Unit</formula1>
    </dataValidation>
    <dataValidation type="list" allowBlank="1" showInputMessage="1" showErrorMessage="1" errorTitle="Selection error" error="Please select an option from the drop-down menu only." promptTitle="Rating plug" prompt="Select rating plug amperes based on the ampere rating of the busbar/network_x000a_Note: the rating plug can be changed to another value anytime in future to reflect changes in the network amperes." sqref="B4" xr:uid="{3D84A0A7-EE19-45DF-9310-180895DB4413}">
      <formula1>Rating</formula1>
    </dataValidation>
    <dataValidation type="list" allowBlank="1" showInputMessage="1" showErrorMessage="1" errorTitle="Selection error" error="Please select an option from the drop-down menu only." promptTitle="Current sensors selection" prompt="Open Type C sensors based on Rogowski coil technology is best suited to retrofits and upgrades across all measurement ranges, while Type A and Type B versions are better suited for new builds." sqref="B5" xr:uid="{DEB195B2-7750-489B-8DD0-BEEED7B36009}">
      <formula1>Sensor</formula1>
    </dataValidation>
    <dataValidation type="list" allowBlank="1" showInputMessage="1" showErrorMessage="1" errorTitle="Selection error" error="Please select an option from the drop-down menu only." promptTitle="Slot1 and Slot2" prompt="Select communication modules to go in Slot1 or Slot1 and Slot2_x000a_Note: as soon as any module is selected for Slots 1 through 4, one Ekip Supply is automatically included, in its own dedicated slot." sqref="B7" xr:uid="{4A40747B-2705-417C-969D-B2970033BC86}">
      <formula1>Slot12</formula1>
    </dataValidation>
    <dataValidation allowBlank="1" showInputMessage="1" showErrorMessage="1" errorTitle="Selection error" error="Please select from drop-down menu; these probes are available in multiples of 3 only." promptTitle="PTC1000 probe" prompt="Each Ekip Signalling 3T module selected above, can accept up to 3x PTC1000 inputs" sqref="C15" xr:uid="{A9B77056-FFDA-4E93-8D7F-D910EBE1E26E}"/>
    <dataValidation type="list" allowBlank="1" showInputMessage="1" showErrorMessage="1" errorTitle="Selection error" error="Please select from the drop down menu only." promptTitle="Programming cable" prompt="Normally, only 1 programming cable is required for a group of EkipUP and the same cable can be used in future projects as well, so if you need more than 2 cables, please review your requirement or contact ABB." sqref="C16" xr:uid="{FF4ACFB0-FF9C-422B-8683-AC5EA9102AAA}">
      <formula1>"0,1,2"</formula1>
    </dataValidation>
    <dataValidation allowBlank="1" showErrorMessage="1" errorTitle="Selection error" error="Please select only from the drop-down menu." sqref="C18" xr:uid="{7794A823-0F75-49D7-A3EC-D91448698CCE}"/>
    <dataValidation type="list" allowBlank="1" showInputMessage="1" showErrorMessage="1" errorTitle="Selection error" error="Please select from drop-down menu." promptTitle="Digital i/o extension" prompt="Maximum 3 extension units allowed, each with 10x digital inputs + 10x digital outputs. _x000a_Note: if this extension is selected, please ensure that 1x Ekip Com Modbus TCP module is selected in slots 1 or 2 above." sqref="C17" xr:uid="{0BB114BA-AA84-4A2A-867A-954057395910}">
      <formula1>"0,1,2,3"</formula1>
    </dataValidation>
    <dataValidation type="list" allowBlank="1" showInputMessage="1" showErrorMessage="1" errorTitle="Selection error" error="Please select from the drop down menu only." promptTitle="Programming cable" prompt="Normally, only 1 programming cable is required for a group of EkipUP and the same cable can be used in future projects as well, so if you need more than 2 cables, please review your requirement or contact ABB." sqref="C17" xr:uid="{DCF92006-58F4-41CF-96F7-30D570DD0795}">
      <formula1>"0,1,2,3"</formula1>
    </dataValidation>
    <dataValidation type="list" allowBlank="1" showInputMessage="1" showErrorMessage="1" errorTitle="Selection error" error="Please select an option from the drop-down menu only." promptTitle="Ekip supply module selection" prompt="Ekip Supply drives the modules mounted on EkipUP unit. Voltage depends on control transformer output. Please note only 24-48Vdc version is sold in Canada.  HENCE 110-240Vac VERSION NOT AVAILABLE UNTIL FURTHER NOTICE." sqref="B6" xr:uid="{243D2078-52F1-420B-AC18-A9E43E7A1214}">
      <formula1>Supply</formula1>
    </dataValidation>
  </dataValidations>
  <hyperlinks>
    <hyperlink ref="B23" r:id="rId1" xr:uid="{00BF9E86-2E8D-4EDC-8D0A-85D23CA7E40B}"/>
    <hyperlink ref="B24" r:id="rId2" xr:uid="{008C786C-DFB4-45A2-91AF-3C2E7CBE6451}"/>
    <hyperlink ref="A31" r:id="rId3" xr:uid="{62510F18-DDA9-48FE-A789-924C7DCD7488}"/>
    <hyperlink ref="A29" r:id="rId4" display="Ability™ EAM webpage" xr:uid="{0732CB8F-C641-45D6-B0DF-3C56E19FA246}"/>
    <hyperlink ref="A28" location="'Reverse Lookup'!B13" display="Reverse lookup" xr:uid="{72143DF5-BB84-4406-A8E6-68E689E43353}"/>
    <hyperlink ref="A30" r:id="rId5" xr:uid="{85754030-89C9-49EB-8984-043A72229994}"/>
    <hyperlink ref="A32" r:id="rId6" xr:uid="{29BCFC3D-B714-48D0-8916-C1DD26C0373B}"/>
  </hyperlinks>
  <printOptions horizontalCentered="1"/>
  <pageMargins left="0.5" right="0.5" top="1.5" bottom="1" header="0.5" footer="0.5"/>
  <pageSetup orientation="portrait" r:id="rId7"/>
  <headerFooter>
    <oddHeader>&amp;L&amp;"Verdana,Bold"
&amp;KFF0000__
&amp;K01+000
&amp;10Enclosed EkipUP or loose parts selection&amp;R&amp;"Verdana,Bold"&amp;16&amp;KFF0000&amp;G</oddHeader>
    <oddFooter>&amp;L&amp;"Verdana,Regular"&amp;8Last printed &amp;D @&amp;T&amp;C&amp;"Verdana,Regular"&amp;8Page &amp;P of &amp;N&amp;R&amp;"Verdana,Bold"&amp;9ABB Canada ELSP&amp;10
&amp;"Verdana,Regular"&amp;8Avi Hemmad</oddFooter>
  </headerFooter>
  <ignoredErrors>
    <ignoredError sqref="B21 C18" unlockedFormula="1"/>
  </ignoredErrors>
  <drawing r:id="rId8"/>
  <legacyDrawingHF r:id="rId9"/>
  <extLst>
    <ext xmlns:x14="http://schemas.microsoft.com/office/spreadsheetml/2009/9/main" uri="{CCE6A557-97BC-4b89-ADB6-D9C93CAAB3DF}">
      <x14:dataValidations xmlns:xm="http://schemas.microsoft.com/office/excel/2006/main" xWindow="911" yWindow="371" count="1">
        <x14:dataValidation type="list" allowBlank="1" showInputMessage="1" showErrorMessage="1" errorTitle="Selection error" error="Please select from drop-down menu only." promptTitle="Software function" prompt="Please choose a software function, if required_x000a_IMPORTANT NOTE: please check and ensure the software function selected is compatible with the EkipUP version selected and change your selection as necessary, if an error is indicated." xr:uid="{7017165B-AD05-4464-ABAD-3BACC417C131}">
          <x14:formula1>
            <xm:f>'Selector working'!$D$7:$D$11</xm:f>
          </x14:formula1>
          <xm:sqref>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9CA55-645B-4269-8C28-975B4EF1AC76}">
  <sheetPr>
    <tabColor rgb="FFFFFF00"/>
  </sheetPr>
  <dimension ref="A1:D31"/>
  <sheetViews>
    <sheetView workbookViewId="0">
      <selection activeCell="B13" sqref="B13"/>
    </sheetView>
  </sheetViews>
  <sheetFormatPr defaultColWidth="9.21875" defaultRowHeight="11.4" x14ac:dyDescent="0.3"/>
  <cols>
    <col min="1" max="1" width="30.77734375" style="28" bestFit="1" customWidth="1"/>
    <col min="2" max="2" width="49.21875" style="28" customWidth="1"/>
    <col min="3" max="3" width="6.77734375" style="28" bestFit="1" customWidth="1"/>
    <col min="4" max="16384" width="9.21875" style="28"/>
  </cols>
  <sheetData>
    <row r="1" spans="1:4" x14ac:dyDescent="0.3">
      <c r="A1" s="26" t="s">
        <v>47</v>
      </c>
      <c r="B1" s="27" t="s">
        <v>48</v>
      </c>
      <c r="C1" s="26" t="s">
        <v>2</v>
      </c>
    </row>
    <row r="2" spans="1:4" x14ac:dyDescent="0.3">
      <c r="A2" s="29" t="s">
        <v>49</v>
      </c>
      <c r="B2" s="24" t="str">
        <f>'Reverse working'!D4</f>
        <v>Supplied as loose parts</v>
      </c>
      <c r="C2" s="30" t="s">
        <v>5</v>
      </c>
    </row>
    <row r="3" spans="1:4" x14ac:dyDescent="0.3">
      <c r="A3" s="31" t="s">
        <v>6</v>
      </c>
      <c r="B3" s="25" t="str">
        <f>'Reverse working'!D6</f>
        <v>EkipUP Monitor (network monitoring only)</v>
      </c>
      <c r="C3" s="30" t="s">
        <v>5</v>
      </c>
    </row>
    <row r="4" spans="1:4" x14ac:dyDescent="0.3">
      <c r="A4" s="31" t="s">
        <v>8</v>
      </c>
      <c r="B4" s="25">
        <f>'Reverse working'!D7</f>
        <v>1600</v>
      </c>
      <c r="C4" s="30" t="s">
        <v>9</v>
      </c>
    </row>
    <row r="5" spans="1:4" x14ac:dyDescent="0.3">
      <c r="A5" s="31" t="s">
        <v>10</v>
      </c>
      <c r="B5" s="25" t="str">
        <f>'Reverse working'!D8</f>
        <v>Open CS 4P type C 200 4000 A max.</v>
      </c>
      <c r="C5" s="30" t="s">
        <v>9</v>
      </c>
    </row>
    <row r="6" spans="1:4" x14ac:dyDescent="0.3">
      <c r="A6" s="31" t="s">
        <v>12</v>
      </c>
      <c r="B6" s="25" t="str">
        <f>'Reverse working'!D9</f>
        <v>Ekip Supply 24-48Vdc</v>
      </c>
      <c r="C6" s="30" t="s">
        <v>14</v>
      </c>
    </row>
    <row r="7" spans="1:4" x14ac:dyDescent="0.3">
      <c r="A7" s="31" t="s">
        <v>15</v>
      </c>
      <c r="B7" s="25" t="str">
        <f>'Reverse working'!D10</f>
        <v>Ekip com Modbus TCP</v>
      </c>
      <c r="C7" s="17" t="s">
        <v>5</v>
      </c>
    </row>
    <row r="8" spans="1:4" x14ac:dyDescent="0.3">
      <c r="A8" s="31" t="s">
        <v>17</v>
      </c>
      <c r="B8" s="25" t="str">
        <f>'Reverse working'!D11</f>
        <v>Ekip Com Hub</v>
      </c>
      <c r="C8" s="17" t="s">
        <v>5</v>
      </c>
    </row>
    <row r="9" spans="1:4" x14ac:dyDescent="0.3">
      <c r="A9" s="31" t="s">
        <v>19</v>
      </c>
      <c r="B9" s="25" t="str">
        <f>'Reverse working'!D12</f>
        <v>None</v>
      </c>
      <c r="C9" s="17" t="s">
        <v>5</v>
      </c>
    </row>
    <row r="10" spans="1:4" x14ac:dyDescent="0.3">
      <c r="A10" s="31" t="s">
        <v>21</v>
      </c>
      <c r="B10" s="25" t="str">
        <f>'Reverse working'!D13</f>
        <v>None</v>
      </c>
      <c r="C10" s="17" t="s">
        <v>22</v>
      </c>
    </row>
    <row r="11" spans="1:4" x14ac:dyDescent="0.3">
      <c r="C11" s="32"/>
    </row>
    <row r="12" spans="1:4" ht="11.55" customHeight="1" x14ac:dyDescent="0.3"/>
    <row r="13" spans="1:4" x14ac:dyDescent="0.3">
      <c r="A13" s="33" t="s">
        <v>50</v>
      </c>
      <c r="B13" s="55" t="s">
        <v>224</v>
      </c>
      <c r="C13" s="34"/>
      <c r="D13" s="34"/>
    </row>
    <row r="14" spans="1:4" x14ac:dyDescent="0.3">
      <c r="D14" s="34"/>
    </row>
    <row r="16" spans="1:4" x14ac:dyDescent="0.3">
      <c r="A16" s="61" t="s">
        <v>51</v>
      </c>
      <c r="B16" s="53" t="s">
        <v>222</v>
      </c>
    </row>
    <row r="17" spans="1:2" x14ac:dyDescent="0.3">
      <c r="A17" s="61"/>
      <c r="B17" s="53" t="s">
        <v>221</v>
      </c>
    </row>
    <row r="18" spans="1:2" x14ac:dyDescent="0.2">
      <c r="A18" s="61"/>
      <c r="B18" s="57" t="s">
        <v>35</v>
      </c>
    </row>
    <row r="19" spans="1:2" x14ac:dyDescent="0.3">
      <c r="A19" s="61"/>
      <c r="B19" s="54" t="s">
        <v>36</v>
      </c>
    </row>
    <row r="21" spans="1:2" x14ac:dyDescent="0.3">
      <c r="A21" s="35" t="s">
        <v>52</v>
      </c>
    </row>
    <row r="22" spans="1:2" x14ac:dyDescent="0.3">
      <c r="A22" s="28" t="s">
        <v>53</v>
      </c>
    </row>
    <row r="23" spans="1:2" x14ac:dyDescent="0.3">
      <c r="A23" s="28" t="s">
        <v>54</v>
      </c>
    </row>
    <row r="24" spans="1:2" x14ac:dyDescent="0.3">
      <c r="A24" s="28" t="s">
        <v>55</v>
      </c>
    </row>
    <row r="25" spans="1:2" x14ac:dyDescent="0.3">
      <c r="A25" s="28" t="s">
        <v>56</v>
      </c>
    </row>
    <row r="26" spans="1:2" x14ac:dyDescent="0.3">
      <c r="A26" s="28" t="s">
        <v>57</v>
      </c>
    </row>
    <row r="27" spans="1:2" x14ac:dyDescent="0.3">
      <c r="A27" s="28" t="s">
        <v>58</v>
      </c>
    </row>
    <row r="28" spans="1:2" x14ac:dyDescent="0.3">
      <c r="A28" s="28" t="s">
        <v>59</v>
      </c>
    </row>
    <row r="29" spans="1:2" x14ac:dyDescent="0.3">
      <c r="A29" s="28" t="s">
        <v>60</v>
      </c>
    </row>
    <row r="30" spans="1:2" x14ac:dyDescent="0.3">
      <c r="A30" s="28" t="s">
        <v>61</v>
      </c>
    </row>
    <row r="31" spans="1:2" x14ac:dyDescent="0.3">
      <c r="A31" s="28" t="s">
        <v>62</v>
      </c>
    </row>
  </sheetData>
  <sheetProtection algorithmName="SHA-512" hashValue="sh3BW4ogrMF7PuV0CM04VnwX856VDTu8sR4EuL81hy4ynfceZDe4oK0KqbsGoHcMeWilRiqcVj1ZjD9v8QEtWA==" saltValue="Nh5PLAnXfTD/0xPDexTJxw==" spinCount="100000" sheet="1" objects="1" scenarios="1" selectLockedCells="1"/>
  <mergeCells count="1">
    <mergeCell ref="A16:A19"/>
  </mergeCells>
  <dataValidations xWindow="837" yWindow="303" count="1">
    <dataValidation allowBlank="1" showInputMessage="1" promptTitle="Part number input field" prompt="Please type or paste your part number here, either 16-digits starting with &quot;E&quot; or 15-digits starting with &quot;U&quot;, no other input needed. If the part number is valid, correct options will be displayed above. Else, &quot;#N/A&quot; error may show up in some cells above." sqref="B13" xr:uid="{6C2FE0EB-51C0-41C9-8CCF-508E885C5A20}"/>
  </dataValidations>
  <hyperlinks>
    <hyperlink ref="B19" r:id="rId1" xr:uid="{F1BC07A0-464B-432E-BA6E-DF2504FA2A21}"/>
    <hyperlink ref="B17" r:id="rId2" xr:uid="{07E0998D-F3D8-4985-9C89-E8B72B2BFE2A}"/>
    <hyperlink ref="B16" location="Selector!B2" display="Return to Selector page" xr:uid="{5BA0E925-FF60-4D18-B861-284D011CA229}"/>
    <hyperlink ref="B18" r:id="rId3" xr:uid="{2A5BF5B9-41C2-4057-A330-F249E44B310B}"/>
  </hyperlinks>
  <printOptions horizontalCentered="1"/>
  <pageMargins left="0.5" right="0.5" top="1.5" bottom="1" header="0.5" footer="0.5"/>
  <pageSetup orientation="portrait" r:id="rId4"/>
  <headerFooter>
    <oddHeader>&amp;L&amp;"Verdana,Bold"
&amp;KFF0000__
&amp;K01+000
EkipUP part# reverse lookup&amp;R&amp;"ABB Logo,Bold"&amp;16&amp;KFF0000&amp;G</oddHeader>
    <oddFooter>&amp;L&amp;"Verdana,Regular"&amp;8Last printed &amp;D @&amp;T&amp;C&amp;"Verdana,Regular"&amp;8Page &amp;P of &amp;N&amp;R&amp;"Verdana,Bold"&amp;9ABB Canada ELSP&amp;10
&amp;"Verdana,Regular"&amp;8Avi Hemmad</oddFooter>
  </headerFooter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FC86C-3231-4185-929A-CF8F34DBC968}">
  <sheetPr codeName="Sheet8"/>
  <dimension ref="A1:L109"/>
  <sheetViews>
    <sheetView workbookViewId="0">
      <selection activeCell="D3" sqref="D3"/>
    </sheetView>
  </sheetViews>
  <sheetFormatPr defaultRowHeight="14.4" x14ac:dyDescent="0.3"/>
  <cols>
    <col min="1" max="1" width="58" bestFit="1" customWidth="1"/>
    <col min="2" max="2" width="5.77734375" bestFit="1" customWidth="1"/>
    <col min="4" max="4" width="23.21875" bestFit="1" customWidth="1"/>
    <col min="5" max="5" width="13.44140625" bestFit="1" customWidth="1"/>
    <col min="6" max="6" width="4.77734375" bestFit="1" customWidth="1"/>
    <col min="7" max="7" width="2.77734375" bestFit="1" customWidth="1"/>
    <col min="8" max="8" width="2.21875" bestFit="1" customWidth="1"/>
    <col min="9" max="12" width="1.77734375" bestFit="1" customWidth="1"/>
  </cols>
  <sheetData>
    <row r="1" spans="1:12" x14ac:dyDescent="0.3">
      <c r="A1" t="s">
        <v>68</v>
      </c>
      <c r="B1" t="s">
        <v>4</v>
      </c>
    </row>
    <row r="2" spans="1:12" x14ac:dyDescent="0.3">
      <c r="B2" t="s">
        <v>208</v>
      </c>
      <c r="D2" s="7" t="str">
        <f>IF(Selector!B2="Nema Type1","E",IF(Selector!B2="Nema Type4","E4",IF(Selector!B2="No","","Check selection")))</f>
        <v/>
      </c>
      <c r="E2" s="8" t="str">
        <f>VLOOKUP(Selector!B3,Unit1,2,FALSE)</f>
        <v>UPMX</v>
      </c>
      <c r="F2" s="8" t="str">
        <f>VLOOKUP(Selector!B4,Rating1,2,FALSE)</f>
        <v>1600</v>
      </c>
      <c r="G2" s="8" t="str">
        <f>VLOOKUP(Selector!B5,Sensor1,2,FALSE)</f>
        <v>C6</v>
      </c>
      <c r="H2" s="8" t="str">
        <f>VLOOKUP(Selector!B6,Supply1,2,FALSE)</f>
        <v>D</v>
      </c>
      <c r="I2" s="9" t="str">
        <f>VLOOKUP(Selector!B7,Slot12a,2,FALSE)</f>
        <v>X</v>
      </c>
      <c r="J2" s="9" t="str">
        <f>VLOOKUP(Selector!B8,Slot3a,2,FALSE)</f>
        <v>D</v>
      </c>
      <c r="K2" s="9" t="str">
        <f>VLOOKUP(Selector!B9,Slot4a,2,FALSE)</f>
        <v>X</v>
      </c>
      <c r="L2" s="10" t="str">
        <f>VLOOKUP(Selector!B10,Warranty1,2,FALSE)</f>
        <v>X</v>
      </c>
    </row>
    <row r="3" spans="1:12" x14ac:dyDescent="0.3">
      <c r="B3" t="s">
        <v>209</v>
      </c>
      <c r="D3" s="6" t="str">
        <f>CONCATENATE(D2,E2,F2,G2,H2,I2,J2,K2,L2)</f>
        <v>UPMX1600C6DXDXX</v>
      </c>
      <c r="E3" s="51"/>
      <c r="F3" s="51"/>
      <c r="G3" s="51"/>
      <c r="H3" s="51"/>
      <c r="I3" s="18"/>
      <c r="J3" s="18"/>
      <c r="K3" s="18"/>
      <c r="L3" s="18"/>
    </row>
    <row r="4" spans="1:12" x14ac:dyDescent="0.3">
      <c r="A4" t="s">
        <v>7</v>
      </c>
      <c r="B4" t="s">
        <v>69</v>
      </c>
    </row>
    <row r="5" spans="1:12" x14ac:dyDescent="0.3">
      <c r="A5" t="s">
        <v>70</v>
      </c>
      <c r="B5" t="s">
        <v>71</v>
      </c>
    </row>
    <row r="6" spans="1:12" x14ac:dyDescent="0.3">
      <c r="A6" t="s">
        <v>72</v>
      </c>
      <c r="B6" t="s">
        <v>73</v>
      </c>
    </row>
    <row r="7" spans="1:12" x14ac:dyDescent="0.3">
      <c r="A7" t="s">
        <v>74</v>
      </c>
      <c r="B7" t="s">
        <v>75</v>
      </c>
      <c r="D7" s="3" t="s">
        <v>20</v>
      </c>
      <c r="E7" s="19"/>
      <c r="F7" s="3">
        <f>IF(Selector!B18="None",0,1)</f>
        <v>0</v>
      </c>
    </row>
    <row r="8" spans="1:12" x14ac:dyDescent="0.3">
      <c r="A8" t="s">
        <v>76</v>
      </c>
      <c r="B8" t="s">
        <v>77</v>
      </c>
      <c r="D8" s="18" t="s">
        <v>78</v>
      </c>
      <c r="E8" s="19"/>
      <c r="F8">
        <f>IF(Selector!$B$18="Basic Load Shedding (included in UPPX/PP/CP)",1,0)</f>
        <v>0</v>
      </c>
    </row>
    <row r="9" spans="1:12" x14ac:dyDescent="0.3">
      <c r="A9">
        <v>100</v>
      </c>
      <c r="B9" s="1" t="s">
        <v>79</v>
      </c>
      <c r="D9" s="18" t="s">
        <v>213</v>
      </c>
      <c r="E9" s="20"/>
      <c r="F9">
        <f>IF(Selector!$B$18="Power Controller 1SDA074212R1",1,0)</f>
        <v>0</v>
      </c>
    </row>
    <row r="10" spans="1:12" x14ac:dyDescent="0.3">
      <c r="A10">
        <v>200</v>
      </c>
      <c r="B10" s="1" t="s">
        <v>80</v>
      </c>
      <c r="D10" s="18" t="s">
        <v>214</v>
      </c>
      <c r="E10" s="19"/>
      <c r="F10">
        <f>IF(Selector!$B$18="Adaptive Load Shedding 1SDA082921R1",1,0)</f>
        <v>0</v>
      </c>
    </row>
    <row r="11" spans="1:12" x14ac:dyDescent="0.3">
      <c r="A11">
        <v>250</v>
      </c>
      <c r="B11" s="1" t="s">
        <v>81</v>
      </c>
      <c r="D11" s="18" t="s">
        <v>215</v>
      </c>
      <c r="E11" s="19"/>
      <c r="F11">
        <f>IF(Selector!$B$18="IPS - Interface Protection 1SDA082919R1",1,0)</f>
        <v>0</v>
      </c>
    </row>
    <row r="12" spans="1:12" x14ac:dyDescent="0.3">
      <c r="A12">
        <v>400</v>
      </c>
      <c r="B12" s="1" t="s">
        <v>82</v>
      </c>
    </row>
    <row r="13" spans="1:12" x14ac:dyDescent="0.3">
      <c r="A13">
        <v>600</v>
      </c>
      <c r="B13" s="1" t="s">
        <v>83</v>
      </c>
    </row>
    <row r="14" spans="1:12" x14ac:dyDescent="0.3">
      <c r="A14">
        <v>630</v>
      </c>
      <c r="B14" s="1" t="s">
        <v>84</v>
      </c>
      <c r="D14" s="4" t="str">
        <f>IF(Selector!C17=0,"",IF(AND(Selector!C17&gt;0,D15=1),"1SDA082485R1","Error: Ekip Com Modbus TCP module not selected above"))</f>
        <v/>
      </c>
    </row>
    <row r="15" spans="1:12" x14ac:dyDescent="0.3">
      <c r="A15">
        <v>800</v>
      </c>
      <c r="B15" s="1" t="s">
        <v>85</v>
      </c>
      <c r="D15" s="6">
        <f>IF(OR('Selector working'!I2=3,'Selector working'!I2="A",'Selector working'!I2="B",'Selector working'!I2="H",'Selector working'!I2="N",'Selector working'!I2="S",'Selector working'!I2="V",'Selector working'!J2=3,'Selector working'!K2=3),1,0)</f>
        <v>0</v>
      </c>
    </row>
    <row r="16" spans="1:12" x14ac:dyDescent="0.3">
      <c r="A16">
        <v>1000</v>
      </c>
      <c r="B16" s="1" t="s">
        <v>86</v>
      </c>
      <c r="D16" s="12" t="str">
        <f>IF(OR(Selector!C16=1,Selector!C16=2),"1SDA076154R1","")</f>
        <v>1SDA076154R1</v>
      </c>
    </row>
    <row r="17" spans="1:4" x14ac:dyDescent="0.3">
      <c r="A17">
        <v>1200</v>
      </c>
      <c r="B17" s="1" t="s">
        <v>87</v>
      </c>
      <c r="D17" s="4">
        <f>IF(J2="E",3,0)</f>
        <v>0</v>
      </c>
    </row>
    <row r="18" spans="1:4" x14ac:dyDescent="0.3">
      <c r="A18">
        <v>1250</v>
      </c>
      <c r="B18" s="1" t="s">
        <v>88</v>
      </c>
      <c r="D18" s="5">
        <f>IF(OR(K2="F",K2="G"),3,0)</f>
        <v>0</v>
      </c>
    </row>
    <row r="19" spans="1:4" x14ac:dyDescent="0.3">
      <c r="A19">
        <v>1600</v>
      </c>
      <c r="B19" s="1" t="s">
        <v>89</v>
      </c>
      <c r="D19" s="5">
        <f>SUM(D17:D18)</f>
        <v>0</v>
      </c>
    </row>
    <row r="20" spans="1:4" x14ac:dyDescent="0.3">
      <c r="A20">
        <v>2000</v>
      </c>
      <c r="B20" s="1" t="s">
        <v>90</v>
      </c>
      <c r="D20" s="6" t="str">
        <f>IF(D19&gt;0,"1SDA085695R1","If temp. monitoring required, select Ekip 3T in Slots 3/4")</f>
        <v>If temp. monitoring required, select Ekip 3T in Slots 3/4</v>
      </c>
    </row>
    <row r="21" spans="1:4" x14ac:dyDescent="0.3">
      <c r="A21">
        <v>2500</v>
      </c>
      <c r="B21" s="1" t="s">
        <v>91</v>
      </c>
    </row>
    <row r="22" spans="1:4" x14ac:dyDescent="0.3">
      <c r="A22">
        <v>3200</v>
      </c>
      <c r="B22" s="1" t="s">
        <v>92</v>
      </c>
      <c r="D22" t="s">
        <v>93</v>
      </c>
    </row>
    <row r="23" spans="1:4" x14ac:dyDescent="0.3">
      <c r="A23">
        <v>3600</v>
      </c>
      <c r="B23" s="1" t="s">
        <v>94</v>
      </c>
      <c r="D23" s="4" t="str">
        <f>CONCATENATE(D24,D25,D26,D27,D28,D29,D30,D31,D32,D33,D34,D35,D36,D37,D38,D39,D40,D41,D42,D43,D44,D45,D46,D47,D48,D49,D50,D51)</f>
        <v/>
      </c>
    </row>
    <row r="24" spans="1:4" x14ac:dyDescent="0.3">
      <c r="A24">
        <v>4000</v>
      </c>
      <c r="B24" s="1" t="s">
        <v>95</v>
      </c>
      <c r="D24" s="5" t="str">
        <f>IF(AND($J$2=2,$K$2=2),"Error: only one Ekip com R Modbus RS-485 module allowed; ","")</f>
        <v/>
      </c>
    </row>
    <row r="25" spans="1:4" x14ac:dyDescent="0.3">
      <c r="A25">
        <v>5000</v>
      </c>
      <c r="B25" s="1" t="s">
        <v>96</v>
      </c>
      <c r="D25" s="5" t="str">
        <f>IF(AND($J$2=3,$K$2=3),"Error: only one Ekip com R Modbus TCP module allowed; ","")</f>
        <v/>
      </c>
    </row>
    <row r="26" spans="1:4" x14ac:dyDescent="0.3">
      <c r="A26">
        <v>6000</v>
      </c>
      <c r="B26" s="1" t="s">
        <v>97</v>
      </c>
      <c r="D26" s="5" t="str">
        <f>IF(AND($J$2=4,$K$2=4),"Error: only one Ekip com R Profibus module allowed; ","")</f>
        <v/>
      </c>
    </row>
    <row r="27" spans="1:4" x14ac:dyDescent="0.3">
      <c r="A27" t="s">
        <v>98</v>
      </c>
      <c r="B27" t="s">
        <v>99</v>
      </c>
      <c r="D27" s="5" t="str">
        <f>IF(AND($J$2=5,$K$2=5),"Error: only one Ekip com R Profinet module allowed; ","")</f>
        <v/>
      </c>
    </row>
    <row r="28" spans="1:4" x14ac:dyDescent="0.3">
      <c r="A28" t="s">
        <v>100</v>
      </c>
      <c r="B28" t="s">
        <v>101</v>
      </c>
      <c r="D28" s="5" t="str">
        <f>IF(AND($J$2=6,$K$2=6),"Error: only one Ekip com R DeviceNet™ module allowed; ","")</f>
        <v/>
      </c>
    </row>
    <row r="29" spans="1:4" x14ac:dyDescent="0.3">
      <c r="A29" t="s">
        <v>102</v>
      </c>
      <c r="B29" t="s">
        <v>103</v>
      </c>
      <c r="D29" s="5" t="str">
        <f>IF(AND($J$2=7,$K$2=7),"Error: only one Ekip com R EtherNet/IP™ module allowed; ","")</f>
        <v/>
      </c>
    </row>
    <row r="30" spans="1:4" x14ac:dyDescent="0.3">
      <c r="A30" t="s">
        <v>104</v>
      </c>
      <c r="B30" t="s">
        <v>105</v>
      </c>
      <c r="D30" s="5" t="str">
        <f>IF(AND($J$2=8,$K$2=8),"Error: only one Ekip Com R IEC61850 module allowed; ","")</f>
        <v/>
      </c>
    </row>
    <row r="31" spans="1:4" x14ac:dyDescent="0.3">
      <c r="A31" t="s">
        <v>106</v>
      </c>
      <c r="B31" t="s">
        <v>107</v>
      </c>
      <c r="D31" s="5" t="str">
        <f>IF(AND(J2="D",K2="D"),"Error: only one Ekip Com Hub module allowed; ","")</f>
        <v/>
      </c>
    </row>
    <row r="32" spans="1:4" x14ac:dyDescent="0.3">
      <c r="A32" t="s">
        <v>108</v>
      </c>
      <c r="B32" t="s">
        <v>109</v>
      </c>
      <c r="D32" s="5" t="str">
        <f>IF(AND($J$2="A",$K$2="A"),"Error: only one Ekip Link module allowed; ","")</f>
        <v/>
      </c>
    </row>
    <row r="33" spans="1:7" x14ac:dyDescent="0.3">
      <c r="A33" t="s">
        <v>110</v>
      </c>
      <c r="B33" t="s">
        <v>111</v>
      </c>
      <c r="D33" s="5" t="str">
        <f>IF(AND($J$2="B",$K$2="B"),"Error: only one Ekip Synchrocheck allowed; ","")</f>
        <v/>
      </c>
    </row>
    <row r="34" spans="1:7" x14ac:dyDescent="0.3">
      <c r="A34" t="s">
        <v>112</v>
      </c>
      <c r="B34" t="s">
        <v>113</v>
      </c>
      <c r="D34" s="5" t="str">
        <f>IF(F2="0100","Caution: sensing accuracy drops &lt;100A, contact ABB for clarification; ","")</f>
        <v/>
      </c>
    </row>
    <row r="35" spans="1:7" x14ac:dyDescent="0.3">
      <c r="A35" t="s">
        <v>114</v>
      </c>
      <c r="B35" t="s">
        <v>115</v>
      </c>
      <c r="D35" s="5" t="str">
        <f>IF(AND(F35=1,G35=1),"Error: please select Ekip Com Modbus RS-485 in Slot1 or Slot2 first; ","")</f>
        <v/>
      </c>
      <c r="F35">
        <f>IF(OR($J$2=2,$K$2=2),1,0)</f>
        <v>0</v>
      </c>
      <c r="G35">
        <f>IF(OR($I$2=2,$I$2="A",$I$2="G",$I$2="M",$I$2="R",$I$2="U",$I$2="W"),0,1)</f>
        <v>1</v>
      </c>
    </row>
    <row r="36" spans="1:7" x14ac:dyDescent="0.3">
      <c r="A36" t="s">
        <v>116</v>
      </c>
      <c r="B36" t="s">
        <v>117</v>
      </c>
      <c r="D36" s="5" t="str">
        <f>IF(AND(F36=1,G36=1),"Error: please select Ekip Com Modbus TCP in Slot1 or Slot2 first; ","")</f>
        <v/>
      </c>
      <c r="F36">
        <f>IF(OR($J$2=3,$K$2=3),1,0)</f>
        <v>0</v>
      </c>
      <c r="G36">
        <f>IF(OR($I$2=3,$I$2="A",$I$2="B",$I$2="H",$I$2="N",$I$2="S",$I$2="V"),0,1)</f>
        <v>1</v>
      </c>
    </row>
    <row r="37" spans="1:7" x14ac:dyDescent="0.3">
      <c r="A37" t="s">
        <v>118</v>
      </c>
      <c r="B37" t="s">
        <v>119</v>
      </c>
      <c r="D37" s="5" t="str">
        <f>IF(AND(F37=1,G37=1),"Error: please select Ekip Com Profibus in Slot1 or Slot2 first; ","")</f>
        <v/>
      </c>
      <c r="F37">
        <f>IF(OR($J$2=4,$K$2=4),1,0)</f>
        <v>0</v>
      </c>
      <c r="G37">
        <f>IF(OR($I$2=4,$I$2="B",$I$2="C",$I$2="G",$I$2="J",$I$2="P",$I$2="T"),0,1)</f>
        <v>1</v>
      </c>
    </row>
    <row r="38" spans="1:7" x14ac:dyDescent="0.3">
      <c r="A38" t="s">
        <v>120</v>
      </c>
      <c r="B38" t="s">
        <v>121</v>
      </c>
      <c r="D38" s="5" t="str">
        <f>IF(AND(F38=1,G38=1),"Error: please select Ekip Com Profinet in Slot1 or Slot2 first; ","")</f>
        <v/>
      </c>
      <c r="E38" s="11"/>
      <c r="F38">
        <f>IF(OR($J$2=5,$K$2=5),1,0)</f>
        <v>0</v>
      </c>
      <c r="G38">
        <f>IF(OR($I$2=5,$I$2="C",$I$2="D",$I$2="H",$I$2="K",$I$2="M",$I$2="Q"),0,1)</f>
        <v>1</v>
      </c>
    </row>
    <row r="39" spans="1:7" x14ac:dyDescent="0.3">
      <c r="A39" t="s">
        <v>122</v>
      </c>
      <c r="B39" t="s">
        <v>123</v>
      </c>
      <c r="D39" s="5" t="str">
        <f>IF(AND(F39=1,G39=1),"Error: please select Ekip Com DeviceNet™ in Slot1 or Slot2 first; ","")</f>
        <v/>
      </c>
      <c r="E39" s="11"/>
      <c r="F39">
        <f>IF(OR($J$2=6,$K$2=6),1,0)</f>
        <v>0</v>
      </c>
      <c r="G39">
        <f>IF(OR($I$2=6,$I$2="E",$I$2="J",$I$2="L",$I$2="N",$I$2="R"),0,1)</f>
        <v>1</v>
      </c>
    </row>
    <row r="40" spans="1:7" x14ac:dyDescent="0.3">
      <c r="A40" t="s">
        <v>124</v>
      </c>
      <c r="B40" t="s">
        <v>125</v>
      </c>
      <c r="D40" s="5" t="str">
        <f>IF(AND(F40=1,G40=1),"Error: please select Ekip Com EtherNet/IP™ in Slot1 or Slot2 first; ","")</f>
        <v/>
      </c>
      <c r="F40">
        <f>IF(OR($J$2=7,$K$2=7),1,0)</f>
        <v>0</v>
      </c>
      <c r="G40">
        <f>IF(OR($I$2=7,$I$2="D",$I$2="E",$I$2="F",$I$2="K",$I$2="P",$I$2="S",$I$2="U"),0,1)</f>
        <v>1</v>
      </c>
    </row>
    <row r="41" spans="1:7" x14ac:dyDescent="0.3">
      <c r="A41" t="s">
        <v>126</v>
      </c>
      <c r="B41" t="s">
        <v>127</v>
      </c>
      <c r="D41" s="5" t="str">
        <f>IF(AND(F41=1,G41=1),"Error: please select Ekip Com IEC61850 in Slot1 or Slot2 first; ","")</f>
        <v/>
      </c>
      <c r="F41">
        <f>IF(OR($J$2=8,$K$2=8),1,0)</f>
        <v>0</v>
      </c>
      <c r="G41">
        <f>IF(OR($I$2=8,$I$2="F",$I$2="L",$I$2="Q",$I$2="T",$I$2="V",$I$2="W"),0,1)</f>
        <v>1</v>
      </c>
    </row>
    <row r="42" spans="1:7" x14ac:dyDescent="0.3">
      <c r="A42" t="s">
        <v>128</v>
      </c>
      <c r="B42" t="s">
        <v>129</v>
      </c>
      <c r="D42" s="5" t="str">
        <f>IF(AND(F42=0,G42=1),"Error: please select Ekip Signalling 3T-1 here or in Slot3 first; ","")</f>
        <v/>
      </c>
      <c r="F42">
        <f>IF($J$2="E",1,0)</f>
        <v>0</v>
      </c>
      <c r="G42">
        <f>IF($K$2="G",1,0)</f>
        <v>0</v>
      </c>
    </row>
    <row r="43" spans="1:7" x14ac:dyDescent="0.3">
      <c r="A43" t="s">
        <v>130</v>
      </c>
      <c r="B43" t="s">
        <v>131</v>
      </c>
      <c r="D43" s="5" t="str">
        <f>IF(AND(F43=0,G43=1),"Error: please select Ekip Signalling 2K-1 here or in Slot3 first; ","")</f>
        <v/>
      </c>
      <c r="F43">
        <f>IF($J$2="C",1,0)</f>
        <v>0</v>
      </c>
      <c r="G43">
        <f>IF($K$2="E",1,0)</f>
        <v>0</v>
      </c>
    </row>
    <row r="44" spans="1:7" x14ac:dyDescent="0.3">
      <c r="A44" t="s">
        <v>11</v>
      </c>
      <c r="B44" t="s">
        <v>132</v>
      </c>
      <c r="D44" s="5" t="str">
        <f>IF(AND(F8=1,OR(E2="UPMX",E2="UPCX")),"Error: please select EkipUP Protect or Protect+ or Control+ version above; ","")</f>
        <v/>
      </c>
    </row>
    <row r="45" spans="1:7" x14ac:dyDescent="0.3">
      <c r="A45" t="s">
        <v>133</v>
      </c>
      <c r="B45" t="s">
        <v>134</v>
      </c>
      <c r="D45" s="5" t="str">
        <f>IF(AND(F9=1,OR(E2="UPMX",E2="UPPX",E2="UPPP")),"Error: please select EkipUP Control or Control+ version above; ","")</f>
        <v/>
      </c>
    </row>
    <row r="46" spans="1:7" x14ac:dyDescent="0.3">
      <c r="A46" t="s">
        <v>135</v>
      </c>
      <c r="B46" t="s">
        <v>136</v>
      </c>
      <c r="D46" s="5" t="str">
        <f>IF(AND(F10=1,OR(E2="UPMX",E2="UPCX")),"Error: please select EkipUP Protect, Protect+ or Control+ version above; ","")</f>
        <v/>
      </c>
    </row>
    <row r="47" spans="1:7" x14ac:dyDescent="0.3">
      <c r="A47" t="s">
        <v>13</v>
      </c>
      <c r="B47" t="s">
        <v>67</v>
      </c>
      <c r="D47" s="6" t="str">
        <f>IF(AND(F11=1,OR(E2="UPMX",E2="UPPX",E2="UPCX")),"Error: please select EkipUP Protect+ or Control+ version above; ","")</f>
        <v/>
      </c>
    </row>
    <row r="48" spans="1:7" x14ac:dyDescent="0.3">
      <c r="A48" t="s">
        <v>207</v>
      </c>
      <c r="B48" t="s">
        <v>138</v>
      </c>
      <c r="D48" s="49" t="str">
        <f>IF(AND($J$2="C",$K$2="C"),"Error: please select Ekip Signalling 2K-2 here, since 2K-1 is already selected in Slot3; ","")</f>
        <v/>
      </c>
    </row>
    <row r="49" spans="1:7" x14ac:dyDescent="0.3">
      <c r="A49" t="s">
        <v>20</v>
      </c>
      <c r="B49" s="2" t="s">
        <v>139</v>
      </c>
      <c r="C49" s="23" t="s">
        <v>140</v>
      </c>
      <c r="D49" s="49" t="str">
        <f>IF(AND($J$2="E",$K$2="F"),"Error: please select Ekip Signalling 3T-2 here, since 3T-1 is already selected in Slot3; ","")</f>
        <v/>
      </c>
    </row>
    <row r="50" spans="1:7" x14ac:dyDescent="0.3">
      <c r="A50" t="s">
        <v>141</v>
      </c>
      <c r="B50" s="2">
        <v>2</v>
      </c>
      <c r="D50" s="49" t="str">
        <f>IF(AND(F50=1,G50=1),"Error: Synchrocheck only works with Protect, Protect+ or Control+ versions of EkipUP","")</f>
        <v/>
      </c>
      <c r="F50">
        <f>IF(OR(E2="UPMX",E2="UPCX"),1,0)</f>
        <v>1</v>
      </c>
      <c r="G50">
        <f>IF(OR(J2="B",K2="B"),1,0)</f>
        <v>0</v>
      </c>
    </row>
    <row r="51" spans="1:7" x14ac:dyDescent="0.3">
      <c r="A51" t="s">
        <v>16</v>
      </c>
      <c r="B51" s="2">
        <v>3</v>
      </c>
      <c r="D51" s="49" t="str">
        <f>IF(H2="E","Error: please reconfirm availability of 110-240Vac Ekip Supply","")</f>
        <v/>
      </c>
    </row>
    <row r="52" spans="1:7" x14ac:dyDescent="0.3">
      <c r="A52" t="s">
        <v>142</v>
      </c>
      <c r="B52" s="2">
        <v>4</v>
      </c>
    </row>
    <row r="53" spans="1:7" x14ac:dyDescent="0.3">
      <c r="A53" t="s">
        <v>143</v>
      </c>
      <c r="B53" s="2">
        <v>5</v>
      </c>
    </row>
    <row r="54" spans="1:7" x14ac:dyDescent="0.3">
      <c r="A54" t="s">
        <v>144</v>
      </c>
      <c r="B54" s="2">
        <v>6</v>
      </c>
    </row>
    <row r="55" spans="1:7" x14ac:dyDescent="0.3">
      <c r="A55" t="s">
        <v>145</v>
      </c>
      <c r="B55" s="2">
        <v>7</v>
      </c>
    </row>
    <row r="56" spans="1:7" x14ac:dyDescent="0.3">
      <c r="A56" t="s">
        <v>146</v>
      </c>
      <c r="B56" s="2">
        <v>8</v>
      </c>
    </row>
    <row r="57" spans="1:7" x14ac:dyDescent="0.3">
      <c r="A57" t="s">
        <v>147</v>
      </c>
      <c r="B57" s="2" t="s">
        <v>148</v>
      </c>
    </row>
    <row r="58" spans="1:7" x14ac:dyDescent="0.3">
      <c r="A58" t="s">
        <v>149</v>
      </c>
      <c r="B58" s="2" t="s">
        <v>150</v>
      </c>
    </row>
    <row r="59" spans="1:7" x14ac:dyDescent="0.3">
      <c r="A59" t="s">
        <v>151</v>
      </c>
      <c r="B59" s="2" t="s">
        <v>152</v>
      </c>
    </row>
    <row r="60" spans="1:7" x14ac:dyDescent="0.3">
      <c r="A60" t="s">
        <v>153</v>
      </c>
      <c r="B60" s="2" t="s">
        <v>67</v>
      </c>
    </row>
    <row r="61" spans="1:7" x14ac:dyDescent="0.3">
      <c r="A61" t="s">
        <v>154</v>
      </c>
      <c r="B61" s="2" t="s">
        <v>138</v>
      </c>
    </row>
    <row r="62" spans="1:7" x14ac:dyDescent="0.3">
      <c r="A62" t="s">
        <v>155</v>
      </c>
      <c r="B62" s="2" t="s">
        <v>156</v>
      </c>
    </row>
    <row r="63" spans="1:7" x14ac:dyDescent="0.3">
      <c r="A63" t="s">
        <v>157</v>
      </c>
      <c r="B63" s="2" t="s">
        <v>66</v>
      </c>
    </row>
    <row r="64" spans="1:7" x14ac:dyDescent="0.3">
      <c r="A64" t="s">
        <v>158</v>
      </c>
      <c r="B64" s="2" t="s">
        <v>159</v>
      </c>
    </row>
    <row r="65" spans="1:3" x14ac:dyDescent="0.3">
      <c r="A65" t="s">
        <v>160</v>
      </c>
      <c r="B65" t="s">
        <v>161</v>
      </c>
    </row>
    <row r="66" spans="1:3" x14ac:dyDescent="0.3">
      <c r="A66" t="s">
        <v>153</v>
      </c>
      <c r="B66" t="s">
        <v>162</v>
      </c>
    </row>
    <row r="67" spans="1:3" x14ac:dyDescent="0.3">
      <c r="A67" t="s">
        <v>163</v>
      </c>
      <c r="B67" t="s">
        <v>64</v>
      </c>
    </row>
    <row r="68" spans="1:3" x14ac:dyDescent="0.3">
      <c r="A68" t="s">
        <v>164</v>
      </c>
      <c r="B68" t="s">
        <v>165</v>
      </c>
    </row>
    <row r="69" spans="1:3" x14ac:dyDescent="0.3">
      <c r="A69" t="s">
        <v>166</v>
      </c>
      <c r="B69" t="s">
        <v>167</v>
      </c>
    </row>
    <row r="70" spans="1:3" x14ac:dyDescent="0.3">
      <c r="A70" t="s">
        <v>168</v>
      </c>
      <c r="B70" t="s">
        <v>169</v>
      </c>
    </row>
    <row r="71" spans="1:3" x14ac:dyDescent="0.3">
      <c r="A71" t="s">
        <v>170</v>
      </c>
      <c r="B71" t="s">
        <v>171</v>
      </c>
    </row>
    <row r="72" spans="1:3" x14ac:dyDescent="0.3">
      <c r="A72" t="s">
        <v>172</v>
      </c>
      <c r="B72" t="s">
        <v>173</v>
      </c>
    </row>
    <row r="73" spans="1:3" x14ac:dyDescent="0.3">
      <c r="A73" t="s">
        <v>174</v>
      </c>
      <c r="B73" t="s">
        <v>65</v>
      </c>
    </row>
    <row r="74" spans="1:3" x14ac:dyDescent="0.3">
      <c r="A74" t="s">
        <v>175</v>
      </c>
      <c r="B74" t="s">
        <v>176</v>
      </c>
    </row>
    <row r="75" spans="1:3" x14ac:dyDescent="0.3">
      <c r="A75" t="s">
        <v>177</v>
      </c>
      <c r="B75" t="s">
        <v>178</v>
      </c>
    </row>
    <row r="76" spans="1:3" x14ac:dyDescent="0.3">
      <c r="A76" t="s">
        <v>179</v>
      </c>
      <c r="B76" t="s">
        <v>63</v>
      </c>
    </row>
    <row r="77" spans="1:3" x14ac:dyDescent="0.3">
      <c r="A77" t="s">
        <v>180</v>
      </c>
      <c r="B77" t="s">
        <v>181</v>
      </c>
    </row>
    <row r="78" spans="1:3" x14ac:dyDescent="0.3">
      <c r="A78" t="s">
        <v>20</v>
      </c>
      <c r="B78" t="s">
        <v>139</v>
      </c>
      <c r="C78" s="23" t="s">
        <v>182</v>
      </c>
    </row>
    <row r="79" spans="1:3" x14ac:dyDescent="0.3">
      <c r="A79" t="s">
        <v>183</v>
      </c>
      <c r="B79">
        <v>2</v>
      </c>
    </row>
    <row r="80" spans="1:3" x14ac:dyDescent="0.3">
      <c r="A80" t="s">
        <v>184</v>
      </c>
      <c r="B80">
        <v>3</v>
      </c>
    </row>
    <row r="81" spans="1:3" x14ac:dyDescent="0.3">
      <c r="A81" t="s">
        <v>185</v>
      </c>
      <c r="B81">
        <v>4</v>
      </c>
    </row>
    <row r="82" spans="1:3" x14ac:dyDescent="0.3">
      <c r="A82" t="s">
        <v>186</v>
      </c>
      <c r="B82">
        <v>5</v>
      </c>
    </row>
    <row r="83" spans="1:3" x14ac:dyDescent="0.3">
      <c r="A83" t="s">
        <v>187</v>
      </c>
      <c r="B83">
        <v>6</v>
      </c>
    </row>
    <row r="84" spans="1:3" x14ac:dyDescent="0.3">
      <c r="A84" t="s">
        <v>188</v>
      </c>
      <c r="B84">
        <v>7</v>
      </c>
    </row>
    <row r="85" spans="1:3" x14ac:dyDescent="0.3">
      <c r="A85" t="s">
        <v>189</v>
      </c>
      <c r="B85">
        <v>8</v>
      </c>
    </row>
    <row r="86" spans="1:3" x14ac:dyDescent="0.3">
      <c r="A86" t="s">
        <v>190</v>
      </c>
      <c r="B86" t="s">
        <v>148</v>
      </c>
    </row>
    <row r="87" spans="1:3" x14ac:dyDescent="0.3">
      <c r="A87" t="s">
        <v>191</v>
      </c>
      <c r="B87" t="s">
        <v>150</v>
      </c>
    </row>
    <row r="88" spans="1:3" x14ac:dyDescent="0.3">
      <c r="A88" t="s">
        <v>192</v>
      </c>
      <c r="B88" t="s">
        <v>152</v>
      </c>
    </row>
    <row r="89" spans="1:3" x14ac:dyDescent="0.3">
      <c r="A89" t="s">
        <v>18</v>
      </c>
      <c r="B89" t="s">
        <v>67</v>
      </c>
    </row>
    <row r="90" spans="1:3" x14ac:dyDescent="0.3">
      <c r="A90" t="s">
        <v>193</v>
      </c>
      <c r="B90" t="s">
        <v>138</v>
      </c>
    </row>
    <row r="91" spans="1:3" x14ac:dyDescent="0.3">
      <c r="A91" t="s">
        <v>20</v>
      </c>
      <c r="B91" t="s">
        <v>139</v>
      </c>
      <c r="C91" s="23" t="s">
        <v>194</v>
      </c>
    </row>
    <row r="92" spans="1:3" x14ac:dyDescent="0.3">
      <c r="A92" t="s">
        <v>183</v>
      </c>
      <c r="B92">
        <v>2</v>
      </c>
    </row>
    <row r="93" spans="1:3" x14ac:dyDescent="0.3">
      <c r="A93" t="s">
        <v>184</v>
      </c>
      <c r="B93">
        <v>3</v>
      </c>
    </row>
    <row r="94" spans="1:3" x14ac:dyDescent="0.3">
      <c r="A94" t="s">
        <v>185</v>
      </c>
      <c r="B94">
        <v>4</v>
      </c>
    </row>
    <row r="95" spans="1:3" x14ac:dyDescent="0.3">
      <c r="A95" t="s">
        <v>186</v>
      </c>
      <c r="B95">
        <v>5</v>
      </c>
    </row>
    <row r="96" spans="1:3" x14ac:dyDescent="0.3">
      <c r="A96" t="s">
        <v>187</v>
      </c>
      <c r="B96">
        <v>6</v>
      </c>
    </row>
    <row r="97" spans="1:2" x14ac:dyDescent="0.3">
      <c r="A97" t="s">
        <v>188</v>
      </c>
      <c r="B97">
        <v>7</v>
      </c>
    </row>
    <row r="98" spans="1:2" x14ac:dyDescent="0.3">
      <c r="A98" t="s">
        <v>189</v>
      </c>
      <c r="B98">
        <v>8</v>
      </c>
    </row>
    <row r="99" spans="1:2" x14ac:dyDescent="0.3">
      <c r="A99" s="20" t="s">
        <v>190</v>
      </c>
      <c r="B99" s="20" t="s">
        <v>148</v>
      </c>
    </row>
    <row r="100" spans="1:2" x14ac:dyDescent="0.3">
      <c r="A100" t="s">
        <v>191</v>
      </c>
      <c r="B100" t="s">
        <v>150</v>
      </c>
    </row>
    <row r="101" spans="1:2" x14ac:dyDescent="0.3">
      <c r="A101" t="s">
        <v>192</v>
      </c>
      <c r="B101" t="s">
        <v>152</v>
      </c>
    </row>
    <row r="102" spans="1:2" x14ac:dyDescent="0.3">
      <c r="A102" t="s">
        <v>18</v>
      </c>
      <c r="B102" t="s">
        <v>67</v>
      </c>
    </row>
    <row r="103" spans="1:2" x14ac:dyDescent="0.3">
      <c r="A103" t="s">
        <v>195</v>
      </c>
      <c r="B103" t="s">
        <v>138</v>
      </c>
    </row>
    <row r="104" spans="1:2" x14ac:dyDescent="0.3">
      <c r="A104" t="s">
        <v>193</v>
      </c>
      <c r="B104" t="s">
        <v>156</v>
      </c>
    </row>
    <row r="105" spans="1:2" x14ac:dyDescent="0.3">
      <c r="A105" t="s">
        <v>196</v>
      </c>
      <c r="B105" t="s">
        <v>66</v>
      </c>
    </row>
    <row r="106" spans="1:2" x14ac:dyDescent="0.3">
      <c r="A106" t="s">
        <v>20</v>
      </c>
      <c r="B106" t="s">
        <v>139</v>
      </c>
    </row>
    <row r="107" spans="1:2" x14ac:dyDescent="0.3">
      <c r="A107" t="s">
        <v>210</v>
      </c>
      <c r="B107">
        <v>2</v>
      </c>
    </row>
    <row r="108" spans="1:2" x14ac:dyDescent="0.3">
      <c r="A108" t="s">
        <v>211</v>
      </c>
      <c r="B108">
        <v>4</v>
      </c>
    </row>
    <row r="109" spans="1:2" x14ac:dyDescent="0.3">
      <c r="A109" t="s">
        <v>212</v>
      </c>
      <c r="B109">
        <v>5</v>
      </c>
    </row>
  </sheetData>
  <sheetProtection algorithmName="SHA-512" hashValue="Ue94jlA2k98kQGcakdDR2MzmlbKnTasmQTaPAUVvFzNGm+YDSpSbSYedkteOCOqwPqD9yltu/dbF+lNkfgRARQ==" saltValue="/d+rEI79fSe8m6c6pZCV+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C51B8-3CCE-413A-8585-C9CFD43BDA3A}">
  <dimension ref="A2:D121"/>
  <sheetViews>
    <sheetView workbookViewId="0">
      <selection activeCell="C2" sqref="C2"/>
    </sheetView>
  </sheetViews>
  <sheetFormatPr defaultColWidth="8.77734375" defaultRowHeight="14.4" x14ac:dyDescent="0.3"/>
  <cols>
    <col min="1" max="1" width="6.44140625" style="36" bestFit="1" customWidth="1"/>
    <col min="2" max="2" width="58" style="36" bestFit="1" customWidth="1"/>
    <col min="3" max="3" width="18.5546875" style="36" bestFit="1" customWidth="1"/>
    <col min="4" max="4" width="38.21875" style="36" bestFit="1" customWidth="1"/>
    <col min="5" max="6" width="8.77734375" style="36"/>
    <col min="7" max="7" width="5.77734375" style="36" bestFit="1" customWidth="1"/>
    <col min="8" max="8" width="58" style="36" bestFit="1" customWidth="1"/>
    <col min="9" max="9" width="5.77734375" style="36" bestFit="1" customWidth="1"/>
    <col min="10" max="16384" width="8.77734375" style="36"/>
  </cols>
  <sheetData>
    <row r="2" spans="1:4" x14ac:dyDescent="0.3">
      <c r="C2" s="37" t="str">
        <f>'Reverse Lookup'!B13</f>
        <v>upmx1600c6d3dxx</v>
      </c>
    </row>
    <row r="3" spans="1:4" x14ac:dyDescent="0.3">
      <c r="C3" s="36">
        <f>LEN(C2)</f>
        <v>15</v>
      </c>
    </row>
    <row r="4" spans="1:4" x14ac:dyDescent="0.3">
      <c r="C4" s="36" t="str">
        <f>IF(C3=16,LEFT(C2,1),IF(C3=17,LEFT(C2,2),IF(C3=15,LEFT(C2,1),"")))</f>
        <v>u</v>
      </c>
      <c r="D4" s="36" t="str">
        <f>IF(C4="E","Enclosed Nema Type1, ready to install",IF(C4="E4","Enclosed Nema Type4, ready to install",IF(C4="U","Supplied as loose parts","Part number must begin with E or U")))</f>
        <v>Supplied as loose parts</v>
      </c>
    </row>
    <row r="5" spans="1:4" x14ac:dyDescent="0.3">
      <c r="C5" s="36">
        <f>IF(AND(C3=16,C4="E"),1,IF(AND(C3=17,C4="E4"),2,0))</f>
        <v>0</v>
      </c>
    </row>
    <row r="6" spans="1:4" x14ac:dyDescent="0.3">
      <c r="C6" s="36" t="str">
        <f>IF($C$5=1,MID($C$2,2,4),IF($C$5=2,MID($C$2,3,4),MID($C$2,1,4)))</f>
        <v>upmx</v>
      </c>
      <c r="D6" s="36" t="str">
        <f>VLOOKUP(C6,Ekip,2,FALSE)</f>
        <v>EkipUP Monitor (network monitoring only)</v>
      </c>
    </row>
    <row r="7" spans="1:4" x14ac:dyDescent="0.3">
      <c r="C7" s="36" t="str">
        <f>IF($C$5=1,MID($C$2,6,4),IF($C$5=2,MID($C$2,7,4),MID($C$2,5,4)))</f>
        <v>1600</v>
      </c>
      <c r="D7" s="36">
        <f>VLOOKUP(C7,Rate,2,FALSE)</f>
        <v>1600</v>
      </c>
    </row>
    <row r="8" spans="1:4" x14ac:dyDescent="0.3">
      <c r="C8" s="36" t="str">
        <f>IF($C$5=1,MID($C$2,10,2),IF($C$5=2,MID($C$2,11,2),MID($C$2,9,2)))</f>
        <v>c6</v>
      </c>
      <c r="D8" s="36" t="str">
        <f>VLOOKUP(C8,Sen,2,FALSE)</f>
        <v>Open CS 4P type C 200 4000 A max.</v>
      </c>
    </row>
    <row r="9" spans="1:4" x14ac:dyDescent="0.3">
      <c r="C9" s="36" t="str">
        <f>IF($C$5=1,MID($C$2,12,1),IF($C$5=2,MID($C$2,13,1),MID($C$2,11,1)))</f>
        <v>d</v>
      </c>
      <c r="D9" s="36" t="str">
        <f>VLOOKUP(C9,Sup,2,FALSE)</f>
        <v>Ekip Supply 24-48Vdc</v>
      </c>
    </row>
    <row r="10" spans="1:4" x14ac:dyDescent="0.3">
      <c r="C10" s="36" t="str">
        <f>IF($C$5=1,MID($C$2,13,1),IF($C$5=2,MID($C$2,14,1),MID($C$2,12,1)))</f>
        <v>3</v>
      </c>
      <c r="D10" s="36" t="str">
        <f>VLOOKUP(C10,Modul12,2,FALSE)</f>
        <v>Ekip com Modbus TCP</v>
      </c>
    </row>
    <row r="11" spans="1:4" x14ac:dyDescent="0.3">
      <c r="C11" s="36" t="str">
        <f>IF($C$5=1,MID($C$2,14,1),IF($C$5=2,MID($C$2,15,1),MID($C$2,13,1)))</f>
        <v>d</v>
      </c>
      <c r="D11" s="36" t="str">
        <f>VLOOKUP(C11,Modul3,2,FALSE)</f>
        <v>Ekip Com Hub</v>
      </c>
    </row>
    <row r="12" spans="1:4" x14ac:dyDescent="0.3">
      <c r="C12" s="36" t="str">
        <f>IF($C$5=1,MID($C$2,15,1),IF($C$5=2,MID($C$2,16,1),MID($C$2,14,1)))</f>
        <v>x</v>
      </c>
      <c r="D12" s="36" t="str">
        <f>VLOOKUP(C12,Modul4,2,FALSE)</f>
        <v>None</v>
      </c>
    </row>
    <row r="13" spans="1:4" x14ac:dyDescent="0.3">
      <c r="C13" s="52" t="str">
        <f>IF($C$5=1,MID($C$2,16,1),IF($C$5=2,MID($C$2,17,1),MID($C$2,15,1)))</f>
        <v>x</v>
      </c>
      <c r="D13" s="36" t="str">
        <f>VLOOKUP(C13,War,2,FALSE)</f>
        <v>None</v>
      </c>
    </row>
    <row r="14" spans="1:4" x14ac:dyDescent="0.3">
      <c r="C14" s="38"/>
    </row>
    <row r="16" spans="1:4" x14ac:dyDescent="0.3">
      <c r="A16" s="38" t="s">
        <v>69</v>
      </c>
      <c r="B16" s="36" t="s">
        <v>7</v>
      </c>
    </row>
    <row r="17" spans="1:2" x14ac:dyDescent="0.3">
      <c r="A17" s="38" t="s">
        <v>71</v>
      </c>
      <c r="B17" s="36" t="s">
        <v>70</v>
      </c>
    </row>
    <row r="18" spans="1:2" x14ac:dyDescent="0.3">
      <c r="A18" s="38" t="s">
        <v>73</v>
      </c>
      <c r="B18" s="36" t="s">
        <v>72</v>
      </c>
    </row>
    <row r="19" spans="1:2" x14ac:dyDescent="0.3">
      <c r="A19" s="38" t="s">
        <v>75</v>
      </c>
      <c r="B19" s="36" t="s">
        <v>74</v>
      </c>
    </row>
    <row r="20" spans="1:2" x14ac:dyDescent="0.3">
      <c r="A20" s="38" t="s">
        <v>77</v>
      </c>
      <c r="B20" s="36" t="s">
        <v>76</v>
      </c>
    </row>
    <row r="21" spans="1:2" x14ac:dyDescent="0.3">
      <c r="A21" s="38" t="s">
        <v>79</v>
      </c>
      <c r="B21" s="36">
        <v>100</v>
      </c>
    </row>
    <row r="22" spans="1:2" x14ac:dyDescent="0.3">
      <c r="A22" s="38" t="s">
        <v>80</v>
      </c>
      <c r="B22" s="36">
        <v>200</v>
      </c>
    </row>
    <row r="23" spans="1:2" x14ac:dyDescent="0.3">
      <c r="A23" s="38" t="s">
        <v>81</v>
      </c>
      <c r="B23" s="36">
        <v>250</v>
      </c>
    </row>
    <row r="24" spans="1:2" x14ac:dyDescent="0.3">
      <c r="A24" s="38" t="s">
        <v>82</v>
      </c>
      <c r="B24" s="36">
        <v>400</v>
      </c>
    </row>
    <row r="25" spans="1:2" x14ac:dyDescent="0.3">
      <c r="A25" s="38" t="s">
        <v>83</v>
      </c>
      <c r="B25" s="36">
        <v>600</v>
      </c>
    </row>
    <row r="26" spans="1:2" x14ac:dyDescent="0.3">
      <c r="A26" s="38" t="s">
        <v>84</v>
      </c>
      <c r="B26" s="36">
        <v>630</v>
      </c>
    </row>
    <row r="27" spans="1:2" x14ac:dyDescent="0.3">
      <c r="A27" s="38" t="s">
        <v>85</v>
      </c>
      <c r="B27" s="36">
        <v>800</v>
      </c>
    </row>
    <row r="28" spans="1:2" x14ac:dyDescent="0.3">
      <c r="A28" s="38" t="s">
        <v>86</v>
      </c>
      <c r="B28" s="36">
        <v>1000</v>
      </c>
    </row>
    <row r="29" spans="1:2" x14ac:dyDescent="0.3">
      <c r="A29" s="38" t="s">
        <v>87</v>
      </c>
      <c r="B29" s="36">
        <v>1200</v>
      </c>
    </row>
    <row r="30" spans="1:2" x14ac:dyDescent="0.3">
      <c r="A30" s="38" t="s">
        <v>88</v>
      </c>
      <c r="B30" s="36">
        <v>1250</v>
      </c>
    </row>
    <row r="31" spans="1:2" x14ac:dyDescent="0.3">
      <c r="A31" s="38" t="s">
        <v>89</v>
      </c>
      <c r="B31" s="36">
        <v>1600</v>
      </c>
    </row>
    <row r="32" spans="1:2" x14ac:dyDescent="0.3">
      <c r="A32" s="38" t="s">
        <v>90</v>
      </c>
      <c r="B32" s="36">
        <v>2000</v>
      </c>
    </row>
    <row r="33" spans="1:2" x14ac:dyDescent="0.3">
      <c r="A33" s="38" t="s">
        <v>91</v>
      </c>
      <c r="B33" s="36">
        <v>2500</v>
      </c>
    </row>
    <row r="34" spans="1:2" x14ac:dyDescent="0.3">
      <c r="A34" s="38" t="s">
        <v>92</v>
      </c>
      <c r="B34" s="36">
        <v>3200</v>
      </c>
    </row>
    <row r="35" spans="1:2" x14ac:dyDescent="0.3">
      <c r="A35" s="38" t="s">
        <v>94</v>
      </c>
      <c r="B35" s="36">
        <v>3600</v>
      </c>
    </row>
    <row r="36" spans="1:2" x14ac:dyDescent="0.3">
      <c r="A36" s="38" t="s">
        <v>95</v>
      </c>
      <c r="B36" s="36">
        <v>4000</v>
      </c>
    </row>
    <row r="37" spans="1:2" x14ac:dyDescent="0.3">
      <c r="A37" s="38" t="s">
        <v>96</v>
      </c>
      <c r="B37" s="36">
        <v>5000</v>
      </c>
    </row>
    <row r="38" spans="1:2" x14ac:dyDescent="0.3">
      <c r="A38" s="38" t="s">
        <v>97</v>
      </c>
      <c r="B38" s="36">
        <v>6000</v>
      </c>
    </row>
    <row r="39" spans="1:2" x14ac:dyDescent="0.3">
      <c r="A39" s="38" t="s">
        <v>99</v>
      </c>
      <c r="B39" s="36" t="s">
        <v>98</v>
      </c>
    </row>
    <row r="40" spans="1:2" x14ac:dyDescent="0.3">
      <c r="A40" s="38" t="s">
        <v>101</v>
      </c>
      <c r="B40" s="36" t="s">
        <v>100</v>
      </c>
    </row>
    <row r="41" spans="1:2" x14ac:dyDescent="0.3">
      <c r="A41" s="38" t="s">
        <v>103</v>
      </c>
      <c r="B41" s="36" t="s">
        <v>102</v>
      </c>
    </row>
    <row r="42" spans="1:2" x14ac:dyDescent="0.3">
      <c r="A42" s="38" t="s">
        <v>105</v>
      </c>
      <c r="B42" s="36" t="s">
        <v>104</v>
      </c>
    </row>
    <row r="43" spans="1:2" x14ac:dyDescent="0.3">
      <c r="A43" s="38" t="s">
        <v>107</v>
      </c>
      <c r="B43" s="36" t="s">
        <v>106</v>
      </c>
    </row>
    <row r="44" spans="1:2" x14ac:dyDescent="0.3">
      <c r="A44" s="38" t="s">
        <v>109</v>
      </c>
      <c r="B44" s="36" t="s">
        <v>108</v>
      </c>
    </row>
    <row r="45" spans="1:2" x14ac:dyDescent="0.3">
      <c r="A45" s="38" t="s">
        <v>111</v>
      </c>
      <c r="B45" s="36" t="s">
        <v>110</v>
      </c>
    </row>
    <row r="46" spans="1:2" x14ac:dyDescent="0.3">
      <c r="A46" s="38" t="s">
        <v>113</v>
      </c>
      <c r="B46" s="36" t="s">
        <v>112</v>
      </c>
    </row>
    <row r="47" spans="1:2" x14ac:dyDescent="0.3">
      <c r="A47" s="38" t="s">
        <v>115</v>
      </c>
      <c r="B47" s="36" t="s">
        <v>114</v>
      </c>
    </row>
    <row r="48" spans="1:2" x14ac:dyDescent="0.3">
      <c r="A48" s="38" t="s">
        <v>117</v>
      </c>
      <c r="B48" s="36" t="s">
        <v>116</v>
      </c>
    </row>
    <row r="49" spans="1:2" x14ac:dyDescent="0.3">
      <c r="A49" s="38" t="s">
        <v>119</v>
      </c>
      <c r="B49" s="36" t="s">
        <v>118</v>
      </c>
    </row>
    <row r="50" spans="1:2" x14ac:dyDescent="0.3">
      <c r="A50" s="38" t="s">
        <v>121</v>
      </c>
      <c r="B50" s="36" t="s">
        <v>120</v>
      </c>
    </row>
    <row r="51" spans="1:2" x14ac:dyDescent="0.3">
      <c r="A51" s="38" t="s">
        <v>123</v>
      </c>
      <c r="B51" s="36" t="s">
        <v>122</v>
      </c>
    </row>
    <row r="52" spans="1:2" x14ac:dyDescent="0.3">
      <c r="A52" s="38" t="s">
        <v>125</v>
      </c>
      <c r="B52" s="36" t="s">
        <v>124</v>
      </c>
    </row>
    <row r="53" spans="1:2" x14ac:dyDescent="0.3">
      <c r="A53" s="38" t="s">
        <v>127</v>
      </c>
      <c r="B53" s="36" t="s">
        <v>126</v>
      </c>
    </row>
    <row r="54" spans="1:2" x14ac:dyDescent="0.3">
      <c r="A54" s="38" t="s">
        <v>129</v>
      </c>
      <c r="B54" s="36" t="s">
        <v>128</v>
      </c>
    </row>
    <row r="55" spans="1:2" x14ac:dyDescent="0.3">
      <c r="A55" s="38" t="s">
        <v>131</v>
      </c>
      <c r="B55" s="36" t="s">
        <v>130</v>
      </c>
    </row>
    <row r="56" spans="1:2" x14ac:dyDescent="0.3">
      <c r="A56" s="38" t="s">
        <v>132</v>
      </c>
      <c r="B56" s="36" t="s">
        <v>11</v>
      </c>
    </row>
    <row r="57" spans="1:2" x14ac:dyDescent="0.3">
      <c r="A57" s="38" t="s">
        <v>134</v>
      </c>
      <c r="B57" s="36" t="s">
        <v>133</v>
      </c>
    </row>
    <row r="58" spans="1:2" x14ac:dyDescent="0.3">
      <c r="A58" s="38" t="s">
        <v>136</v>
      </c>
      <c r="B58" s="36" t="s">
        <v>135</v>
      </c>
    </row>
    <row r="59" spans="1:2" x14ac:dyDescent="0.3">
      <c r="A59" s="38" t="s">
        <v>67</v>
      </c>
      <c r="B59" s="36" t="s">
        <v>13</v>
      </c>
    </row>
    <row r="60" spans="1:2" x14ac:dyDescent="0.3">
      <c r="A60" s="38" t="s">
        <v>138</v>
      </c>
      <c r="B60" s="36" t="s">
        <v>137</v>
      </c>
    </row>
    <row r="61" spans="1:2" x14ac:dyDescent="0.3">
      <c r="A61" s="38" t="s">
        <v>139</v>
      </c>
      <c r="B61" s="36" t="s">
        <v>20</v>
      </c>
    </row>
    <row r="62" spans="1:2" x14ac:dyDescent="0.3">
      <c r="A62" s="39" t="s">
        <v>200</v>
      </c>
      <c r="B62" s="36" t="s">
        <v>141</v>
      </c>
    </row>
    <row r="63" spans="1:2" x14ac:dyDescent="0.3">
      <c r="A63" s="39" t="s">
        <v>201</v>
      </c>
      <c r="B63" s="36" t="s">
        <v>16</v>
      </c>
    </row>
    <row r="64" spans="1:2" x14ac:dyDescent="0.3">
      <c r="A64" s="39" t="s">
        <v>202</v>
      </c>
      <c r="B64" s="36" t="s">
        <v>142</v>
      </c>
    </row>
    <row r="65" spans="1:2" x14ac:dyDescent="0.3">
      <c r="A65" s="39" t="s">
        <v>203</v>
      </c>
      <c r="B65" s="36" t="s">
        <v>143</v>
      </c>
    </row>
    <row r="66" spans="1:2" x14ac:dyDescent="0.3">
      <c r="A66" s="39" t="s">
        <v>204</v>
      </c>
      <c r="B66" s="36" t="s">
        <v>144</v>
      </c>
    </row>
    <row r="67" spans="1:2" x14ac:dyDescent="0.3">
      <c r="A67" s="39" t="s">
        <v>205</v>
      </c>
      <c r="B67" s="36" t="s">
        <v>145</v>
      </c>
    </row>
    <row r="68" spans="1:2" x14ac:dyDescent="0.3">
      <c r="A68" s="39" t="s">
        <v>206</v>
      </c>
      <c r="B68" s="36" t="s">
        <v>146</v>
      </c>
    </row>
    <row r="69" spans="1:2" x14ac:dyDescent="0.3">
      <c r="A69" s="38" t="s">
        <v>148</v>
      </c>
      <c r="B69" s="36" t="s">
        <v>147</v>
      </c>
    </row>
    <row r="70" spans="1:2" x14ac:dyDescent="0.3">
      <c r="A70" s="38" t="s">
        <v>150</v>
      </c>
      <c r="B70" s="36" t="s">
        <v>149</v>
      </c>
    </row>
    <row r="71" spans="1:2" x14ac:dyDescent="0.3">
      <c r="A71" s="38" t="s">
        <v>152</v>
      </c>
      <c r="B71" s="36" t="s">
        <v>151</v>
      </c>
    </row>
    <row r="72" spans="1:2" x14ac:dyDescent="0.3">
      <c r="A72" s="38" t="s">
        <v>67</v>
      </c>
      <c r="B72" s="36" t="s">
        <v>153</v>
      </c>
    </row>
    <row r="73" spans="1:2" x14ac:dyDescent="0.3">
      <c r="A73" s="38" t="s">
        <v>138</v>
      </c>
      <c r="B73" s="36" t="s">
        <v>154</v>
      </c>
    </row>
    <row r="74" spans="1:2" x14ac:dyDescent="0.3">
      <c r="A74" s="38" t="s">
        <v>156</v>
      </c>
      <c r="B74" s="36" t="s">
        <v>155</v>
      </c>
    </row>
    <row r="75" spans="1:2" x14ac:dyDescent="0.3">
      <c r="A75" s="38" t="s">
        <v>66</v>
      </c>
      <c r="B75" s="36" t="s">
        <v>157</v>
      </c>
    </row>
    <row r="76" spans="1:2" x14ac:dyDescent="0.3">
      <c r="A76" s="38" t="s">
        <v>159</v>
      </c>
      <c r="B76" s="36" t="s">
        <v>158</v>
      </c>
    </row>
    <row r="77" spans="1:2" x14ac:dyDescent="0.3">
      <c r="A77" s="38" t="s">
        <v>161</v>
      </c>
      <c r="B77" s="36" t="s">
        <v>160</v>
      </c>
    </row>
    <row r="78" spans="1:2" x14ac:dyDescent="0.3">
      <c r="A78" s="38" t="s">
        <v>162</v>
      </c>
      <c r="B78" s="36" t="s">
        <v>153</v>
      </c>
    </row>
    <row r="79" spans="1:2" x14ac:dyDescent="0.3">
      <c r="A79" s="38" t="s">
        <v>64</v>
      </c>
      <c r="B79" s="36" t="s">
        <v>163</v>
      </c>
    </row>
    <row r="80" spans="1:2" x14ac:dyDescent="0.3">
      <c r="A80" s="38" t="s">
        <v>165</v>
      </c>
      <c r="B80" s="36" t="s">
        <v>164</v>
      </c>
    </row>
    <row r="81" spans="1:2" x14ac:dyDescent="0.3">
      <c r="A81" s="38" t="s">
        <v>167</v>
      </c>
      <c r="B81" s="36" t="s">
        <v>166</v>
      </c>
    </row>
    <row r="82" spans="1:2" x14ac:dyDescent="0.3">
      <c r="A82" s="38" t="s">
        <v>169</v>
      </c>
      <c r="B82" s="36" t="s">
        <v>168</v>
      </c>
    </row>
    <row r="83" spans="1:2" x14ac:dyDescent="0.3">
      <c r="A83" s="38" t="s">
        <v>171</v>
      </c>
      <c r="B83" s="36" t="s">
        <v>170</v>
      </c>
    </row>
    <row r="84" spans="1:2" x14ac:dyDescent="0.3">
      <c r="A84" s="38" t="s">
        <v>173</v>
      </c>
      <c r="B84" s="36" t="s">
        <v>172</v>
      </c>
    </row>
    <row r="85" spans="1:2" x14ac:dyDescent="0.3">
      <c r="A85" s="38" t="s">
        <v>65</v>
      </c>
      <c r="B85" s="36" t="s">
        <v>174</v>
      </c>
    </row>
    <row r="86" spans="1:2" x14ac:dyDescent="0.3">
      <c r="A86" s="38" t="s">
        <v>176</v>
      </c>
      <c r="B86" s="36" t="s">
        <v>175</v>
      </c>
    </row>
    <row r="87" spans="1:2" x14ac:dyDescent="0.3">
      <c r="A87" s="38" t="s">
        <v>178</v>
      </c>
      <c r="B87" s="36" t="s">
        <v>177</v>
      </c>
    </row>
    <row r="88" spans="1:2" x14ac:dyDescent="0.3">
      <c r="A88" s="38" t="s">
        <v>63</v>
      </c>
      <c r="B88" s="36" t="s">
        <v>179</v>
      </c>
    </row>
    <row r="89" spans="1:2" x14ac:dyDescent="0.3">
      <c r="A89" s="38" t="s">
        <v>181</v>
      </c>
      <c r="B89" s="36" t="s">
        <v>180</v>
      </c>
    </row>
    <row r="90" spans="1:2" x14ac:dyDescent="0.3">
      <c r="A90" s="38" t="s">
        <v>139</v>
      </c>
      <c r="B90" s="36" t="s">
        <v>20</v>
      </c>
    </row>
    <row r="91" spans="1:2" x14ac:dyDescent="0.3">
      <c r="A91" s="39" t="s">
        <v>200</v>
      </c>
      <c r="B91" s="36" t="s">
        <v>183</v>
      </c>
    </row>
    <row r="92" spans="1:2" x14ac:dyDescent="0.3">
      <c r="A92" s="39" t="s">
        <v>201</v>
      </c>
      <c r="B92" s="36" t="s">
        <v>184</v>
      </c>
    </row>
    <row r="93" spans="1:2" x14ac:dyDescent="0.3">
      <c r="A93" s="39" t="s">
        <v>202</v>
      </c>
      <c r="B93" s="36" t="s">
        <v>185</v>
      </c>
    </row>
    <row r="94" spans="1:2" x14ac:dyDescent="0.3">
      <c r="A94" s="39" t="s">
        <v>203</v>
      </c>
      <c r="B94" s="36" t="s">
        <v>186</v>
      </c>
    </row>
    <row r="95" spans="1:2" x14ac:dyDescent="0.3">
      <c r="A95" s="39" t="s">
        <v>204</v>
      </c>
      <c r="B95" s="36" t="s">
        <v>187</v>
      </c>
    </row>
    <row r="96" spans="1:2" x14ac:dyDescent="0.3">
      <c r="A96" s="39" t="s">
        <v>205</v>
      </c>
      <c r="B96" s="36" t="s">
        <v>188</v>
      </c>
    </row>
    <row r="97" spans="1:2" x14ac:dyDescent="0.3">
      <c r="A97" s="39" t="s">
        <v>206</v>
      </c>
      <c r="B97" s="36" t="s">
        <v>189</v>
      </c>
    </row>
    <row r="98" spans="1:2" x14ac:dyDescent="0.3">
      <c r="A98" s="38" t="s">
        <v>148</v>
      </c>
      <c r="B98" s="36" t="s">
        <v>190</v>
      </c>
    </row>
    <row r="99" spans="1:2" x14ac:dyDescent="0.3">
      <c r="A99" s="38" t="s">
        <v>150</v>
      </c>
      <c r="B99" s="36" t="s">
        <v>191</v>
      </c>
    </row>
    <row r="100" spans="1:2" x14ac:dyDescent="0.3">
      <c r="A100" s="38" t="s">
        <v>152</v>
      </c>
      <c r="B100" s="36" t="s">
        <v>192</v>
      </c>
    </row>
    <row r="101" spans="1:2" x14ac:dyDescent="0.3">
      <c r="A101" s="38" t="s">
        <v>67</v>
      </c>
      <c r="B101" s="36" t="s">
        <v>18</v>
      </c>
    </row>
    <row r="102" spans="1:2" x14ac:dyDescent="0.3">
      <c r="A102" s="38" t="s">
        <v>138</v>
      </c>
      <c r="B102" s="36" t="s">
        <v>193</v>
      </c>
    </row>
    <row r="103" spans="1:2" x14ac:dyDescent="0.3">
      <c r="A103" s="38" t="s">
        <v>139</v>
      </c>
      <c r="B103" s="36" t="s">
        <v>20</v>
      </c>
    </row>
    <row r="104" spans="1:2" x14ac:dyDescent="0.3">
      <c r="A104" s="39" t="s">
        <v>200</v>
      </c>
      <c r="B104" s="36" t="s">
        <v>183</v>
      </c>
    </row>
    <row r="105" spans="1:2" x14ac:dyDescent="0.3">
      <c r="A105" s="39" t="s">
        <v>201</v>
      </c>
      <c r="B105" s="36" t="s">
        <v>184</v>
      </c>
    </row>
    <row r="106" spans="1:2" x14ac:dyDescent="0.3">
      <c r="A106" s="39" t="s">
        <v>202</v>
      </c>
      <c r="B106" s="36" t="s">
        <v>185</v>
      </c>
    </row>
    <row r="107" spans="1:2" x14ac:dyDescent="0.3">
      <c r="A107" s="39" t="s">
        <v>203</v>
      </c>
      <c r="B107" s="36" t="s">
        <v>186</v>
      </c>
    </row>
    <row r="108" spans="1:2" x14ac:dyDescent="0.3">
      <c r="A108" s="39" t="s">
        <v>204</v>
      </c>
      <c r="B108" s="36" t="s">
        <v>187</v>
      </c>
    </row>
    <row r="109" spans="1:2" x14ac:dyDescent="0.3">
      <c r="A109" s="39" t="s">
        <v>205</v>
      </c>
      <c r="B109" s="36" t="s">
        <v>188</v>
      </c>
    </row>
    <row r="110" spans="1:2" x14ac:dyDescent="0.3">
      <c r="A110" s="39" t="s">
        <v>206</v>
      </c>
      <c r="B110" s="36" t="s">
        <v>189</v>
      </c>
    </row>
    <row r="111" spans="1:2" x14ac:dyDescent="0.3">
      <c r="A111" s="40" t="s">
        <v>148</v>
      </c>
      <c r="B111" s="41" t="s">
        <v>190</v>
      </c>
    </row>
    <row r="112" spans="1:2" x14ac:dyDescent="0.3">
      <c r="A112" s="38" t="s">
        <v>150</v>
      </c>
      <c r="B112" s="36" t="s">
        <v>191</v>
      </c>
    </row>
    <row r="113" spans="1:2" x14ac:dyDescent="0.3">
      <c r="A113" s="38" t="s">
        <v>152</v>
      </c>
      <c r="B113" s="36" t="s">
        <v>192</v>
      </c>
    </row>
    <row r="114" spans="1:2" x14ac:dyDescent="0.3">
      <c r="A114" s="38" t="s">
        <v>67</v>
      </c>
      <c r="B114" s="36" t="s">
        <v>18</v>
      </c>
    </row>
    <row r="115" spans="1:2" x14ac:dyDescent="0.3">
      <c r="A115" s="38" t="s">
        <v>138</v>
      </c>
      <c r="B115" s="36" t="s">
        <v>195</v>
      </c>
    </row>
    <row r="116" spans="1:2" x14ac:dyDescent="0.3">
      <c r="A116" s="38" t="s">
        <v>156</v>
      </c>
      <c r="B116" s="36" t="s">
        <v>193</v>
      </c>
    </row>
    <row r="117" spans="1:2" x14ac:dyDescent="0.3">
      <c r="A117" s="38" t="s">
        <v>66</v>
      </c>
      <c r="B117" s="36" t="s">
        <v>196</v>
      </c>
    </row>
    <row r="118" spans="1:2" x14ac:dyDescent="0.3">
      <c r="A118" s="38" t="s">
        <v>139</v>
      </c>
      <c r="B118" s="36" t="s">
        <v>20</v>
      </c>
    </row>
    <row r="119" spans="1:2" x14ac:dyDescent="0.3">
      <c r="A119" s="39" t="s">
        <v>200</v>
      </c>
      <c r="B119" s="36" t="s">
        <v>197</v>
      </c>
    </row>
    <row r="120" spans="1:2" x14ac:dyDescent="0.3">
      <c r="A120" s="39" t="s">
        <v>202</v>
      </c>
      <c r="B120" s="36" t="s">
        <v>198</v>
      </c>
    </row>
    <row r="121" spans="1:2" x14ac:dyDescent="0.3">
      <c r="A121" s="39" t="s">
        <v>203</v>
      </c>
      <c r="B121" s="36" t="s">
        <v>199</v>
      </c>
    </row>
  </sheetData>
  <sheetProtection algorithmName="SHA-512" hashValue="pHOkcuLQuqtDq3dZPINyxt8t8Ja8UIAROYISsrlACpJidR+8/XpL2UWLq2ME1XV+JbFI0T24l7PtP31NtqYO3w==" saltValue="TiVmbmJqTh80W+F8bftQL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d4b1a54-4380-42b6-a712-d7c472b71335">
      <UserInfo>
        <DisplayName>Gaetan J. Fournier</DisplayName>
        <AccountId>22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E3082AF4030B438BA25641C919E424" ma:contentTypeVersion="5" ma:contentTypeDescription="Create a new document." ma:contentTypeScope="" ma:versionID="8347d09feaa2cb5fe72f54e12a2b5f64">
  <xsd:schema xmlns:xsd="http://www.w3.org/2001/XMLSchema" xmlns:xs="http://www.w3.org/2001/XMLSchema" xmlns:p="http://schemas.microsoft.com/office/2006/metadata/properties" xmlns:ns2="7e5ed1a8-1d59-4cce-ac8f-15a42789d0b3" xmlns:ns3="bd4b1a54-4380-42b6-a712-d7c472b71335" targetNamespace="http://schemas.microsoft.com/office/2006/metadata/properties" ma:root="true" ma:fieldsID="13eef942c2cd32895dee9f3567e9b930" ns2:_="" ns3:_="">
    <xsd:import namespace="7e5ed1a8-1d59-4cce-ac8f-15a42789d0b3"/>
    <xsd:import namespace="bd4b1a54-4380-42b6-a712-d7c472b713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ed1a8-1d59-4cce-ac8f-15a42789d0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b1a54-4380-42b6-a712-d7c472b7133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5539F4-0C1B-452F-97EF-9757BBBF9A04}">
  <ds:schemaRefs>
    <ds:schemaRef ds:uri="bd4b1a54-4380-42b6-a712-d7c472b7133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7e5ed1a8-1d59-4cce-ac8f-15a42789d0b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CAE0BCA-33D5-4581-BE44-44A5C70486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ed1a8-1d59-4cce-ac8f-15a42789d0b3"/>
    <ds:schemaRef ds:uri="bd4b1a54-4380-42b6-a712-d7c472b713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C6F0D9-DDBE-4339-A398-C493A5E036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29</vt:i4>
      </vt:variant>
    </vt:vector>
  </HeadingPairs>
  <TitlesOfParts>
    <vt:vector size="33" baseType="lpstr">
      <vt:lpstr>Selector</vt:lpstr>
      <vt:lpstr>Reverse Lookup</vt:lpstr>
      <vt:lpstr>Selector working</vt:lpstr>
      <vt:lpstr>Reverse working</vt:lpstr>
      <vt:lpstr>Ekip</vt:lpstr>
      <vt:lpstr>Modul12</vt:lpstr>
      <vt:lpstr>Modul3</vt:lpstr>
      <vt:lpstr>Modul4</vt:lpstr>
      <vt:lpstr>'Reverse Lookup'!Print_Area</vt:lpstr>
      <vt:lpstr>Rate</vt:lpstr>
      <vt:lpstr>Rating</vt:lpstr>
      <vt:lpstr>Rating1</vt:lpstr>
      <vt:lpstr>Sen</vt:lpstr>
      <vt:lpstr>Sensor</vt:lpstr>
      <vt:lpstr>Sensor1</vt:lpstr>
      <vt:lpstr>Slot1</vt:lpstr>
      <vt:lpstr>Slot12</vt:lpstr>
      <vt:lpstr>Slot12a</vt:lpstr>
      <vt:lpstr>Slot1a</vt:lpstr>
      <vt:lpstr>Slot2</vt:lpstr>
      <vt:lpstr>Slot2a</vt:lpstr>
      <vt:lpstr>Slot3</vt:lpstr>
      <vt:lpstr>Slot3a</vt:lpstr>
      <vt:lpstr>Slot4</vt:lpstr>
      <vt:lpstr>Slot4a</vt:lpstr>
      <vt:lpstr>Sup</vt:lpstr>
      <vt:lpstr>Supply</vt:lpstr>
      <vt:lpstr>Supply1</vt:lpstr>
      <vt:lpstr>Unit</vt:lpstr>
      <vt:lpstr>Unit1</vt:lpstr>
      <vt:lpstr>War</vt:lpstr>
      <vt:lpstr>Warranty</vt:lpstr>
      <vt:lpstr>Warranty1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EkipUP Parts Selection Tool</dc:title>
  <dc:subject/>
  <dc:creator/>
  <cp:keywords>EkipUP, selection tool</cp:keywords>
  <dc:description/>
  <cp:lastModifiedBy/>
  <cp:revision/>
  <dcterms:created xsi:type="dcterms:W3CDTF">2015-06-05T18:17:20Z</dcterms:created>
  <dcterms:modified xsi:type="dcterms:W3CDTF">2021-07-27T20:29:58Z</dcterms:modified>
  <cp:category>EkipUP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0x01010032E3082AF4030B438BA25641C919E424</vt:lpwstr>
  </property>
</Properties>
</file>